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35" windowHeight="9480" tabRatio="598" firstSheet="2" activeTab="8"/>
  </bookViews>
  <sheets>
    <sheet name="Naslovna strana" sheetId="1" state="hidden" r:id="rId1"/>
    <sheet name="PRIHODI 1.str." sheetId="2" r:id="rId2"/>
    <sheet name="Tekući bilans" sheetId="3" r:id="rId3"/>
    <sheet name="FINANSIRANJE" sheetId="4" state="hidden" r:id="rId4"/>
    <sheet name="PRIHODI 2.str." sheetId="5" r:id="rId5"/>
    <sheet name="PRIHODI" sheetId="6" r:id="rId6"/>
    <sheet name="EKON.KOD" sheetId="7" r:id="rId7"/>
    <sheet name="FUN.I OGR.KLAS." sheetId="8" r:id="rId8"/>
    <sheet name="POSEBNI DIO 24-52" sheetId="9" r:id="rId9"/>
    <sheet name="KAPITALNI BUDŽET" sheetId="10" state="hidden" r:id="rId10"/>
    <sheet name="kraj" sheetId="11" state="hidden" r:id="rId11"/>
  </sheets>
  <definedNames>
    <definedName name="_xlnm.Print_Area" localSheetId="6">'EKON.KOD'!$A$1:$L$201</definedName>
    <definedName name="_xlnm.Print_Area" localSheetId="7">'FUN.I OGR.KLAS.'!$A$1:$L$133</definedName>
    <definedName name="_xlnm.Print_Area" localSheetId="10">'kraj'!$A$1:$N$22</definedName>
    <definedName name="_xlnm.Print_Area" localSheetId="0">'Naslovna strana'!$A$1:$O$30</definedName>
    <definedName name="_xlnm.Print_Area" localSheetId="8">'POSEBNI DIO 24-52'!$A$1:$P$989</definedName>
    <definedName name="_xlnm.Print_Area" localSheetId="5">'PRIHODI'!$A$1:$L$482</definedName>
    <definedName name="_xlnm.Print_Area" localSheetId="1">'PRIHODI 1.str.'!$B$1:$L$23</definedName>
    <definedName name="_xlnm.Print_Area" localSheetId="4">'PRIHODI 2.str.'!$A$1:$L$63,'PRIHODI 2.str.'!$A$79:$L$96</definedName>
    <definedName name="_xlnm.Print_Area" localSheetId="2">'Tekući bilans'!$B$2:$L$30</definedName>
  </definedNames>
  <calcPr fullCalcOnLoad="1"/>
</workbook>
</file>

<file path=xl/sharedStrings.xml><?xml version="1.0" encoding="utf-8"?>
<sst xmlns="http://schemas.openxmlformats.org/spreadsheetml/2006/main" count="5150" uniqueCount="1441">
  <si>
    <t>Sredstva za obuku i vježbe struktura CZ</t>
  </si>
  <si>
    <t>613994-2</t>
  </si>
  <si>
    <t>Sredstva za učešće u  provođenju preventivnih mjera zaštite i spašavanja</t>
  </si>
  <si>
    <t>Sredstva za saniranje dijela šteta nastalih prirodnom i drugom nesrećom</t>
  </si>
  <si>
    <t>0200</t>
  </si>
  <si>
    <t>0201</t>
  </si>
  <si>
    <t>0202</t>
  </si>
  <si>
    <t>0203</t>
  </si>
  <si>
    <t>0702</t>
  </si>
  <si>
    <t>1203</t>
  </si>
  <si>
    <t>1204</t>
  </si>
  <si>
    <t>0202 - TEKUĆA  REZERVA BUDŽETA</t>
  </si>
  <si>
    <t>0203 - DONATORSKA SREDSTVA</t>
  </si>
  <si>
    <t>07. SLUŽBA ZA PROSTORNO UREĐENJE I ZAŠTITU OKOLINE</t>
  </si>
  <si>
    <t>0701 - SLUŽBA ZA PROSTORNO UREĐENJE  I ZAŠTITU OKOLINE</t>
  </si>
  <si>
    <t>08. SLUŽBA ZA GEODETSKE I IMOVINSKO- PRAVNE  POSLOVE</t>
  </si>
  <si>
    <t xml:space="preserve">0801 - SLUŽBA ZA GEODETSKE I IMOVINSKO- PRAVNE  POSLOVE                                                </t>
  </si>
  <si>
    <t>09. SLUŽBA ZA INSPEKCIJSKE POSLOVE</t>
  </si>
  <si>
    <t>0901 - SLUŽBA ZA INSPEKCIJSKE POSLOVE</t>
  </si>
  <si>
    <t>10. SLUŽBA ZA OPĆU UPRAVU  I  ZAJEDNIČKE POSLOVE</t>
  </si>
  <si>
    <t>1001 - SLUŽBA ZA OPĆU UPRAVU I ZAJEDNIČKE POSLOVE</t>
  </si>
  <si>
    <t>12. SLUŽBA CIVILNE ZAŠTITE</t>
  </si>
  <si>
    <t>1201 - SLUŽBA CIVILNE ZAŠTITE</t>
  </si>
  <si>
    <t>14. GRADSKO PRAVOBRANILAŠTVO</t>
  </si>
  <si>
    <t>1401 - GRADSKO PRAVOBRANILAŠTVO</t>
  </si>
  <si>
    <t>15. UPRAVNA ORGANIZACIJA - ZAVOD ZA URBANIZAM</t>
  </si>
  <si>
    <t>1501 - UPRAVNA ORGANIZACIJA -  ZAVOD ZA URBANIZAM</t>
  </si>
  <si>
    <t>614311-15</t>
  </si>
  <si>
    <t>Grant za kulturnu manifestaciju - Ljeto u Tuzli</t>
  </si>
  <si>
    <t>Prihodi od kamata za depozite u banci</t>
  </si>
  <si>
    <t>05.  ODJELJENJE ZA POSLOVE  MJESNIH ZAJEDNICA</t>
  </si>
  <si>
    <t>Grant za MDD "Merhamet"Tuzla za Narodnu kuhinju "Imaret"</t>
  </si>
  <si>
    <t>Bosna i Hercegovina</t>
  </si>
  <si>
    <t xml:space="preserve"> Izdaci  bankarskog i platnog prometa </t>
  </si>
  <si>
    <t>Federacija Bosne i Hercegovine</t>
  </si>
  <si>
    <t>Tuzlanski kanton</t>
  </si>
  <si>
    <t>Član 3.</t>
  </si>
  <si>
    <t xml:space="preserve"> A. TEKUĆI IZDACI</t>
  </si>
  <si>
    <t xml:space="preserve"> DOPRINOSI POSLODAVACA</t>
  </si>
  <si>
    <t xml:space="preserve"> IZDACI ZA MATERIJAL I USLUGE</t>
  </si>
  <si>
    <t xml:space="preserve"> TEKUĆI GRANTOVI</t>
  </si>
  <si>
    <t xml:space="preserve"> KAPITALNI GRANTOVI</t>
  </si>
  <si>
    <t>002</t>
  </si>
  <si>
    <t>SVEGA GRUPA 741100</t>
  </si>
  <si>
    <t>II TEKUĆI TRANSFERI OD OSTALIH NIVOA VLASTI</t>
  </si>
  <si>
    <t>Izdaci za realizaciju manifestacije - Književni susreti Cum Grano Salis</t>
  </si>
  <si>
    <t>Grant za aktivnu politiku zapošljavanja</t>
  </si>
  <si>
    <t>Nagrade studentima, učenicima i sportistima za nadprosječan uspjeh</t>
  </si>
  <si>
    <t>Rekonstrukcija i invest. održav. administrativnih prostorija u vlasništvu Grada Tuzla</t>
  </si>
  <si>
    <t>Sanacija klizišta, Usluge i sredstva za saniranje dijela šteta nastalih prirodnom i drugom nesrećom</t>
  </si>
  <si>
    <t>Izgradnja mostova</t>
  </si>
  <si>
    <t>Grant za povratak - LAP Readmisija</t>
  </si>
  <si>
    <t>Nabavka opreme - Opremanje GŠCZ MTS-om</t>
  </si>
  <si>
    <t>Naknada za rad članovima štaba CZ za vrijeme prirodne nesreće</t>
  </si>
  <si>
    <t>614233-2</t>
  </si>
  <si>
    <t>613976-5</t>
  </si>
  <si>
    <t>Grant za projekte za mlade</t>
  </si>
  <si>
    <t>Grant  ADSFBiH za  obuku državnih službenika</t>
  </si>
  <si>
    <t>614125-1</t>
  </si>
  <si>
    <t>614311-56</t>
  </si>
  <si>
    <t>GRANTOVI DRUGIM NIVOIMA VLADE</t>
  </si>
  <si>
    <t>821223-1</t>
  </si>
  <si>
    <t>Primljeni kapitalni transferi od Federacije</t>
  </si>
  <si>
    <t>Izgradnja vodovodne i kanalizacione mreže i objekata vodosnabdjevanja, Izgradnja korita vodotoka,Regulacija neregurisanih riječnih tokova</t>
  </si>
  <si>
    <t>Primljeni kapitalni transferi od inozemnih vlada</t>
  </si>
  <si>
    <t>613991-11</t>
  </si>
  <si>
    <t>Tekući transfer KUCZ Tuzla - za deminiranje</t>
  </si>
  <si>
    <t>614114-2</t>
  </si>
  <si>
    <t>RASHODI FINANSIRANI IZ KREDITA</t>
  </si>
  <si>
    <t>821221-2</t>
  </si>
  <si>
    <t>Izgradnja trotoara</t>
  </si>
  <si>
    <t xml:space="preserve">Izgradnja puteva, mostova i izgradnja semaforske signaliz. </t>
  </si>
  <si>
    <t>Izdaci za energiju - socijalno stanovanje</t>
  </si>
  <si>
    <t>Izdaci za energiju - poslovni prostori</t>
  </si>
  <si>
    <t xml:space="preserve">Izdaci za komunalne usluge </t>
  </si>
  <si>
    <t>Prihodi od iznajmljivanja ostale mat. imovine (stanovi u vlasništvu Grada Tuzla)</t>
  </si>
  <si>
    <t>Prihodi od iznajmljivanja ostale mat. imovine (stanovi u vlasništvu Grada  Tuzla)</t>
  </si>
  <si>
    <t>613991-13</t>
  </si>
  <si>
    <t>Usluge izdavanja saglasnosti za projekte komunalne infrastrukture</t>
  </si>
  <si>
    <t>Grant za Aero klub Tuzla</t>
  </si>
  <si>
    <t>Sredstva za saniranje  šteta nastalih prirodnom nesrećom</t>
  </si>
  <si>
    <t>Grant neprofitnoj organizaciji - Udruženje za razvoj "Nerda"</t>
  </si>
  <si>
    <t>614311-57</t>
  </si>
  <si>
    <t>614311-58</t>
  </si>
  <si>
    <t>821212-1</t>
  </si>
  <si>
    <t xml:space="preserve">Broj: 01-14-               </t>
  </si>
  <si>
    <t>UKUPNI KAPITALNI TRANSFERI</t>
  </si>
  <si>
    <t>Porez na promet osnovnih proizvoda za građ.iz člana 12.stav 1. tač. 12, Zakona o porezu na promet proizvoda i usluga i porez na promet proizvoda i usluga u građevinarstvu koji se obračunava na osnovicu iz člana 18. tačka 5. Zakona</t>
  </si>
  <si>
    <t>Usluge mjerenja slijeganja tla</t>
  </si>
  <si>
    <t>Naknada za korištenje držav. šuma utvr. kanton. propisima</t>
  </si>
  <si>
    <t>Porez na promet osnovnih proizvoda poljopr., ribarstva i prizv. koji služe za ljuds.ishranu iz člana 12. stav 1. tač.1. i 2.  Zakona o porezu na promet proizvoda i usluga</t>
  </si>
  <si>
    <t>Naknada za korištenje podataka premjera i katastra</t>
  </si>
  <si>
    <t>Posebna naknada za zaštitu od prirodnih i dr.nesreća gdje je osnovica zbirni iznos neto plata za isplatu</t>
  </si>
  <si>
    <t>Posebna naknada za zaštitu od prirodnih i dr. nesreća gdje je osnovica zbirni iznos neto primitka po osnovu druge samostalne djelatnosti i povremenog samost. rada</t>
  </si>
  <si>
    <t xml:space="preserve"> Grantovi pojedincima - jednokratne pomoći                       korisnicima  BIZ-a </t>
  </si>
  <si>
    <t>Taksa za ovjeravanje dokumenata</t>
  </si>
  <si>
    <t>Transfer od Federalnog Zavoda za zapošljavanje</t>
  </si>
  <si>
    <t>Porez na promet proizvoda iz člana 12. Zakona o porezu na promet proizvoda i usluga za koje se porez na promet proizvoda plaća po nižoj stopi,osim proizvoda iz člana 12.     stav 1. tač. 1, 2, 4..,12, 13, i 16.</t>
  </si>
  <si>
    <t>Prihodi od poreza na dohodak od drugih samostalnih djelatnosti iz čl. 12. stav 4. Zakona o porezu na dohodak</t>
  </si>
  <si>
    <t>Prihodi od indir. poreza koji priprada jed. lok. samouprave</t>
  </si>
  <si>
    <t xml:space="preserve">Prihodi od davanja prava na eskploataciju prirodnih resursa, patenata i autorskih prava </t>
  </si>
  <si>
    <t>Prihodi od troškova naplate po osnovu pokret. post. prinudne naplate</t>
  </si>
  <si>
    <t>Naknada za korištenje gradskog građevniskog zemljišta (NKGZ)</t>
  </si>
  <si>
    <t xml:space="preserve"> IZDACI ZA KAMATE I OSTALE NAKNADE</t>
  </si>
  <si>
    <t xml:space="preserve"> IZDACI ZA NABAVKU STALNIH SREDSTAVA</t>
  </si>
  <si>
    <t>UKUPNO KAPITALNI IZDACI</t>
  </si>
  <si>
    <t>Tekuća rezerva</t>
  </si>
  <si>
    <t xml:space="preserve"> UKUPNO</t>
  </si>
  <si>
    <t>PLAĆE ZAPOSLENIH</t>
  </si>
  <si>
    <t>SVEGA GRUPA 611100</t>
  </si>
  <si>
    <t>614311-42</t>
  </si>
  <si>
    <t>NAKNADE TROŠKOVA ZAPOSLENIH</t>
  </si>
  <si>
    <t xml:space="preserve"> Kamate na pozajmice od domaćih finansijskih institucija</t>
  </si>
  <si>
    <t>PUTNI TROŠKOVI</t>
  </si>
  <si>
    <t>IZDACI ZA ENERGIJU</t>
  </si>
  <si>
    <t>Izdaci za održavanje higijene grada</t>
  </si>
  <si>
    <t>Izdaci za održavanje zelenih površina</t>
  </si>
  <si>
    <t>Naknada za izgradnju i održavanje javnih skloništa</t>
  </si>
  <si>
    <t>Izdaci za rad zimske službe</t>
  </si>
  <si>
    <t>Nabavka materijala i sitnog inventara</t>
  </si>
  <si>
    <t>IZDACI ZA USLUGE PREVOZA I GORIVA</t>
  </si>
  <si>
    <t>Izdaci za gorivo, prevoz i registracije</t>
  </si>
  <si>
    <t>IZDACI ZA TEKUĆE ODRŽAVANJE</t>
  </si>
  <si>
    <t>0101</t>
  </si>
  <si>
    <t>0102</t>
  </si>
  <si>
    <t>0100</t>
  </si>
  <si>
    <t>1301</t>
  </si>
  <si>
    <t>1001</t>
  </si>
  <si>
    <t>1000</t>
  </si>
  <si>
    <t>1201</t>
  </si>
  <si>
    <t xml:space="preserve"> Služba civilne zaštite </t>
  </si>
  <si>
    <t>1200</t>
  </si>
  <si>
    <t>0901</t>
  </si>
  <si>
    <t>0900</t>
  </si>
  <si>
    <t>1401</t>
  </si>
  <si>
    <t>1400</t>
  </si>
  <si>
    <t>0301</t>
  </si>
  <si>
    <t>0401</t>
  </si>
  <si>
    <t>0300</t>
  </si>
  <si>
    <t xml:space="preserve">Služba za budžet i finasije </t>
  </si>
  <si>
    <t>0501</t>
  </si>
  <si>
    <t>0502</t>
  </si>
  <si>
    <t>0504</t>
  </si>
  <si>
    <t>0503</t>
  </si>
  <si>
    <t>0500</t>
  </si>
  <si>
    <t xml:space="preserve"> Služba za komunalne poslove, izgradnju i poslove mjesnih zajednica</t>
  </si>
  <si>
    <t>0701</t>
  </si>
  <si>
    <t>1501</t>
  </si>
  <si>
    <t>0700</t>
  </si>
  <si>
    <t xml:space="preserve"> Služba za prostorno uređenje i zaštitu okoline </t>
  </si>
  <si>
    <t>0801</t>
  </si>
  <si>
    <t>0800</t>
  </si>
  <si>
    <t>1101</t>
  </si>
  <si>
    <t>1100</t>
  </si>
  <si>
    <t>Izdaci osiguranja</t>
  </si>
  <si>
    <t>Izdaci bankarskih usluga i platnog prometa</t>
  </si>
  <si>
    <t>UGOVORENE USLUGE I DRUGE POSEBNE USLUGE</t>
  </si>
  <si>
    <t>POREZ NA DOBIT POJEDINACA (ZAOSTALE UPLATE)</t>
  </si>
  <si>
    <t>POREZI NA PLAĆE (ZAOSTALE UPLATE)</t>
  </si>
  <si>
    <t>Naknada za vršenje usluga iz oblasti premjera i katastra</t>
  </si>
  <si>
    <t>PREGLED RASHODA PO EKONOMSKOJ KLASIFIKACIJI</t>
  </si>
  <si>
    <t>PREGLED RASHODA PO FUNKCIONALNOJ KLASIFIKACIJI</t>
  </si>
  <si>
    <t>16. SLUŽBA ZA INTERNU REVIZIJU</t>
  </si>
  <si>
    <t xml:space="preserve"> 1601- SLUŽBA ZA INTERNU REVIZIJU</t>
  </si>
  <si>
    <t>16</t>
  </si>
  <si>
    <t>UKUPNO SLUŽBA ZA INTERNU REVIZIJU</t>
  </si>
  <si>
    <t>1600</t>
  </si>
  <si>
    <t>Služba za internu reviziju</t>
  </si>
  <si>
    <t>1601</t>
  </si>
  <si>
    <t>PREGLED RASHODA PO ORGANIZACIONOJ KLASIFIKACIJI</t>
  </si>
  <si>
    <t xml:space="preserve"> Izdaci za održavanje skloništa</t>
  </si>
  <si>
    <t xml:space="preserve"> Izdaci za održavanje poslovnih prostora </t>
  </si>
  <si>
    <t xml:space="preserve">Naknade po sudskim presudama </t>
  </si>
  <si>
    <t xml:space="preserve">Stručne usluge </t>
  </si>
  <si>
    <t>Ostale usluge</t>
  </si>
  <si>
    <t>TEKUĆA  REZERVA BUDŽETA</t>
  </si>
  <si>
    <t xml:space="preserve"> DONATORSKA SREDSTVA</t>
  </si>
  <si>
    <t xml:space="preserve"> JU CENAR ZA SOCIJALNI RAD TUZLA</t>
  </si>
  <si>
    <t xml:space="preserve"> JU ZA PREDŠKOLSKI ODGOJ I OBRAZOVANJE OBDANIŠTE "NAŠE DIJETE" TUZLA</t>
  </si>
  <si>
    <t xml:space="preserve"> JU GRADSKI STADION "TUŠANJ" TUZLA</t>
  </si>
  <si>
    <t xml:space="preserve"> ODJELJENJE ZA KOMUNALNU INFRASTRUKTURU                    </t>
  </si>
  <si>
    <t xml:space="preserve"> SLUŽBA ZA PROSTORNO UREĐENJE I ZAŠTITU OKOLINE</t>
  </si>
  <si>
    <t xml:space="preserve"> SLUŽBA CIVILNE ZAŠTITE</t>
  </si>
  <si>
    <t xml:space="preserve"> PLAĆE ZAPOSLENIH - JAVNE USTANOVE</t>
  </si>
  <si>
    <t xml:space="preserve"> NAKNADE TROŠKOVA ZAPOSLENIH - JAV. USTANOVE</t>
  </si>
  <si>
    <t xml:space="preserve"> DOPRINOSI POSLODAVACA - JAVNE USTANOVE</t>
  </si>
  <si>
    <t>EKONOMSKI             KOD</t>
  </si>
  <si>
    <t>ORGAN.    KOD</t>
  </si>
  <si>
    <t>EKONOMSKI              KOD</t>
  </si>
  <si>
    <t>Izdaci za PDV</t>
  </si>
  <si>
    <t>613324-1</t>
  </si>
  <si>
    <t>613324-2</t>
  </si>
  <si>
    <t>613324-3</t>
  </si>
  <si>
    <t>613724-1</t>
  </si>
  <si>
    <t>613724-2</t>
  </si>
  <si>
    <t>613725-1</t>
  </si>
  <si>
    <t>Izdaci za održavanje putnog pojasa</t>
  </si>
  <si>
    <t>613725-2</t>
  </si>
  <si>
    <t>613727-7</t>
  </si>
  <si>
    <t>613727-8</t>
  </si>
  <si>
    <t>613976-2</t>
  </si>
  <si>
    <t xml:space="preserve"> Naknade savjetima MZ</t>
  </si>
  <si>
    <t>613727-9</t>
  </si>
  <si>
    <t>Projektna dokumentacija</t>
  </si>
  <si>
    <t>722329-2</t>
  </si>
  <si>
    <t>Izdaci za volontere</t>
  </si>
  <si>
    <t>Sredstva za zaštitu i spašavanje</t>
  </si>
  <si>
    <t xml:space="preserve"> SVEGA GRUPA 613000</t>
  </si>
  <si>
    <t>GRANTOVI POJEDINCIMA</t>
  </si>
  <si>
    <t>GRANTOVI NEPROFITNIM ORGANIZAC. I TRANSFERI</t>
  </si>
  <si>
    <t>SVEGA GRUPA 742100</t>
  </si>
  <si>
    <t>SVEGA GRUPA 742200</t>
  </si>
  <si>
    <t>Grantovi neprofitnim organizacijama</t>
  </si>
  <si>
    <t>Grant neprof. organizaciji - Sportski savez grada Tuzle</t>
  </si>
  <si>
    <t xml:space="preserve"> Transfer za rad - Gradsko udruženje samostalnih privrednika</t>
  </si>
  <si>
    <t>Transfer za rad - Udruženja penzionera grada Tuzle</t>
  </si>
  <si>
    <t xml:space="preserve"> Učešće grada u troškovima postupka pribavljanja odobrenja za građenje stambenih objekata boračke populacije </t>
  </si>
  <si>
    <t>Izdaci za održavanje spomen obilježja u MZ grada Tuzla</t>
  </si>
  <si>
    <t>Zaštita kulturno istorijskog nasljeđa</t>
  </si>
  <si>
    <t>OSTALI GRANTOVI I POVRATI</t>
  </si>
  <si>
    <t xml:space="preserve"> SVEGA GRUPA 614000</t>
  </si>
  <si>
    <t xml:space="preserve"> SVEGA GRUPA 615000</t>
  </si>
  <si>
    <t xml:space="preserve"> SVEGA GRUPA 616000</t>
  </si>
  <si>
    <t xml:space="preserve"> B. KAPITALNI IZDACI </t>
  </si>
  <si>
    <t xml:space="preserve">NABAVKA OPREME </t>
  </si>
  <si>
    <t>REKONSTRUKCIJE I INVESTICIONA ODRŽAVANJA</t>
  </si>
  <si>
    <t xml:space="preserve"> SVEGA GRUPA 821000</t>
  </si>
  <si>
    <t>UKUPNI IZDACI</t>
  </si>
  <si>
    <t>UKUPNO PRIHODI OD POREZA</t>
  </si>
  <si>
    <t xml:space="preserve">Izgradnja i rekonstrukcija stadiona Tušanj </t>
  </si>
  <si>
    <t>Prihodi od iznajmljivanja posl. prostora i ostale mater. imovine</t>
  </si>
  <si>
    <t>Prihodi od pružanja usluga pravnim osobama</t>
  </si>
  <si>
    <t>Prihodi od pružanja usluga drugima</t>
  </si>
  <si>
    <t>NEPLANIRANE UPLATE (PRIHODI)</t>
  </si>
  <si>
    <t>Prihodi od iznajmljivanja ostale materijalne imovine</t>
  </si>
  <si>
    <t>722329-3</t>
  </si>
  <si>
    <t>Naknada za korištenje javnih dobara</t>
  </si>
  <si>
    <t xml:space="preserve">Naknade za povrat više ili pogrešno uplaćenih sredstava </t>
  </si>
  <si>
    <t>614329-19</t>
  </si>
  <si>
    <t>Transfer za rad -  JP SKPC "Mejdan" Tuzla</t>
  </si>
  <si>
    <t xml:space="preserve"> Izdaci osiguranja</t>
  </si>
  <si>
    <t xml:space="preserve"> Izdaci osiguranja </t>
  </si>
  <si>
    <t>Izdaci za tekuće održavanje javnih dobara</t>
  </si>
  <si>
    <t>821619-18</t>
  </si>
  <si>
    <t>Izdaci za zanavljanje javnih dobara</t>
  </si>
  <si>
    <t>614329-20</t>
  </si>
  <si>
    <t>614329-21</t>
  </si>
  <si>
    <t>0402</t>
  </si>
  <si>
    <t>0404</t>
  </si>
  <si>
    <t>0405</t>
  </si>
  <si>
    <t>OSTALI POREZI NA PROMET PROIZVODA I USLUGA (ZAOSTALE UPLATE)</t>
  </si>
  <si>
    <t xml:space="preserve">Prihodi od iznajmljivanja poslovnih prostora i ostale materijalne imovine  </t>
  </si>
  <si>
    <t xml:space="preserve"> B. KAPITALNI IZDACI</t>
  </si>
  <si>
    <t>Prihodi od indir. poreza koji pripradaju Direkciji cesta</t>
  </si>
  <si>
    <t>Grant neprofitnim organizacijama -  UG "Lovačko društvo" Tuzla</t>
  </si>
  <si>
    <t>Transakcije javnog duga</t>
  </si>
  <si>
    <t>Izdaci za PDV i Porez na dobit</t>
  </si>
  <si>
    <t>Služba za opću upravu i zajedničke poslove</t>
  </si>
  <si>
    <t xml:space="preserve"> Služba civilne zaštite</t>
  </si>
  <si>
    <t xml:space="preserve"> Služba za inspekcijske poslove</t>
  </si>
  <si>
    <t xml:space="preserve"> Služba za budžet i finansije </t>
  </si>
  <si>
    <t xml:space="preserve">Sredstva za rad stručnih komisija </t>
  </si>
  <si>
    <t xml:space="preserve"> Služba za komunalne poslove                                </t>
  </si>
  <si>
    <t xml:space="preserve"> Odjeljene za komunalnu infrastrukturu</t>
  </si>
  <si>
    <t xml:space="preserve"> Odjeljenje za poslove mjesnih zajednica</t>
  </si>
  <si>
    <t xml:space="preserve"> Služba za prostorno uređenje i zaštitu okoline</t>
  </si>
  <si>
    <t xml:space="preserve"> Upravna organizacija - Zavod za urbanizam</t>
  </si>
  <si>
    <t xml:space="preserve"> Služba za geodetske i imovinsko - pravne poslove</t>
  </si>
  <si>
    <t xml:space="preserve"> Služba za opću upravu i zajedničke poslove </t>
  </si>
  <si>
    <t>Transfer za rad - JP "Veterinarska stanica" Tuzla</t>
  </si>
  <si>
    <t>Transfer za rad - RPC Tuzla -  "Inkubator Lipnica"</t>
  </si>
  <si>
    <t>Izgradnja vrelovodne mreže, optimizacija sistema daljinskog grijanja</t>
  </si>
  <si>
    <t>KAPITALNI GRANTOVI JAVNIM PREDUZEĆIMA</t>
  </si>
  <si>
    <t>Ostale općinske komunalne naknade i pristojbe</t>
  </si>
  <si>
    <t>722329-1</t>
  </si>
  <si>
    <t>OPĆINSKE NAKNADE I TAKSE</t>
  </si>
  <si>
    <t>KOMUNALNE NAKNADE I TAKSE</t>
  </si>
  <si>
    <t>Naknade po osnovu tehničkog pregleda građevina</t>
  </si>
  <si>
    <t>JU Gradski stadion "Tušanj" Tuzla</t>
  </si>
  <si>
    <t>Ostale općinske naknade</t>
  </si>
  <si>
    <t>Grant neprofitnoj organizaciji - UG "Kuća plamena mira"Tuzla</t>
  </si>
  <si>
    <t>614311-49</t>
  </si>
  <si>
    <t>614311-50</t>
  </si>
  <si>
    <t>615311-1</t>
  </si>
  <si>
    <t>613724-3</t>
  </si>
  <si>
    <t>613724-4</t>
  </si>
  <si>
    <t>821222-3</t>
  </si>
  <si>
    <t>614311-51</t>
  </si>
  <si>
    <t>Zakup poslovnog prostora</t>
  </si>
  <si>
    <t>615211-5</t>
  </si>
  <si>
    <t>614232-4</t>
  </si>
  <si>
    <t>613727-3</t>
  </si>
  <si>
    <t>Izdaci za održavanje skloništa</t>
  </si>
  <si>
    <t>Transfer za rad -  JP "BIT Centar" Tuzla</t>
  </si>
  <si>
    <t>Transfer za rad - JU Narodna i univerzit. biblioteka "Derviš Sušić" Tuzla</t>
  </si>
  <si>
    <t>Grantovi neprofitnim organizacijama - sport</t>
  </si>
  <si>
    <t>614311-52</t>
  </si>
  <si>
    <t>Grantovi za medije</t>
  </si>
  <si>
    <t xml:space="preserve"> Izdaci za komunikaciju</t>
  </si>
  <si>
    <t>613727-13</t>
  </si>
  <si>
    <t>615211-2</t>
  </si>
  <si>
    <t>614329-23</t>
  </si>
  <si>
    <t>Tekući grant - JZU Gradske apoteke Tuzla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</si>
  <si>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</si>
  <si>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Grantovi pojedincima - socijalne jednokratne pomoći</t>
  </si>
  <si>
    <t>Porez na dobit od privredne i profes. djelatnosti</t>
  </si>
  <si>
    <t>Grant neprofitnoj organizaciji - KK "Jedinstvo" Tuzla</t>
  </si>
  <si>
    <t xml:space="preserve"> Grant za pomoć Fondaciji "Istina - pravda - pomirenje"</t>
  </si>
  <si>
    <t>Naknada za zauzimanje javnih površina</t>
  </si>
  <si>
    <t>DONACIJE</t>
  </si>
  <si>
    <t>Donacije od pravnih lica</t>
  </si>
  <si>
    <t>SVEGA GRUPA 733100</t>
  </si>
  <si>
    <t>Naknada za dodijeljeno zemljište</t>
  </si>
  <si>
    <t>613991-9</t>
  </si>
  <si>
    <t>Prihodi od iznajmljivanja zemljišta</t>
  </si>
  <si>
    <t>614311-41</t>
  </si>
  <si>
    <t>613991-6</t>
  </si>
  <si>
    <t>613727-10</t>
  </si>
  <si>
    <t>Naknada za korištenje hidroakumalacionog objekta izgrađ. na potopljenom području</t>
  </si>
  <si>
    <t>0402 - JU "CENTAR ZA SOCIJALNI RAD" TUZLA</t>
  </si>
  <si>
    <t>0404 - JU ZA PREDŠKOLSKI ODGOJ I OBRAZOVANJE OBDANIŠTE "NAŠE DIJETE" TUZLA</t>
  </si>
  <si>
    <t>JU "Centar za socijalni rad" Tuzla</t>
  </si>
  <si>
    <t>JU Za predškolski odgoj i obrazovanje Obdanište "Naše dijete" Tuzla</t>
  </si>
  <si>
    <t>Broj računa kont. plana</t>
  </si>
  <si>
    <t>Porez na imovinu od fizičkih lica</t>
  </si>
  <si>
    <t>Porez na promet nepokretnosti od fizičkih lica</t>
  </si>
  <si>
    <t>III TEKUĆI TRANSFERI (TRANSFERI I DONACIJE)</t>
  </si>
  <si>
    <t>UKUPNI TEKUĆI TRANSFERI</t>
  </si>
  <si>
    <t>Primljeni tekući transferi od kantona</t>
  </si>
  <si>
    <t>Porez na imovinu od pravnih lica</t>
  </si>
  <si>
    <t>Grant neprofitnoj organizaciji - RSD "Sloboda" Tuzla</t>
  </si>
  <si>
    <t>Porez na promet nepokretnosti od pravnih lica</t>
  </si>
  <si>
    <t>Naknada za zakup javnih površina od kafea, restorana</t>
  </si>
  <si>
    <t xml:space="preserve">Naknada za reklame postavljene na javnim površinama </t>
  </si>
  <si>
    <t>Porez na plaću i druga lična primanja</t>
  </si>
  <si>
    <t>Naknada za funkcionalne premije osiguranja od autoodgovornosti za vatrogasne jedinice</t>
  </si>
  <si>
    <t>Naknada za postupak legalizacije javnih površina i građevina</t>
  </si>
  <si>
    <t>Primljeni tekući transferi od Federacije</t>
  </si>
  <si>
    <t>TEKUĆI TRANSFERI OD OSTALIH NIVOA VLASTI</t>
  </si>
  <si>
    <t>613329-2</t>
  </si>
  <si>
    <t>OPIS</t>
  </si>
  <si>
    <t>A. PRIHODI</t>
  </si>
  <si>
    <t>PRIHODI</t>
  </si>
  <si>
    <t xml:space="preserve">I PRIHODI OD POREZA </t>
  </si>
  <si>
    <t xml:space="preserve">Porez na prihod od imovine i imovinskih prava </t>
  </si>
  <si>
    <t>SVEGA GRUPA 711100</t>
  </si>
  <si>
    <t>Porez na dodatna primanja</t>
  </si>
  <si>
    <t>SVEGA GRUPA 713100</t>
  </si>
  <si>
    <t>POREZ NA IMOVINU</t>
  </si>
  <si>
    <t>Porez na naslijeđe i darove</t>
  </si>
  <si>
    <t>SVEGA GRUPA 714100</t>
  </si>
  <si>
    <t xml:space="preserve"> I PRIHODI</t>
  </si>
  <si>
    <t xml:space="preserve">    UKUPNO</t>
  </si>
  <si>
    <t>Komunalne usluge za objekte komunalne infrastrukture</t>
  </si>
  <si>
    <t>Izgradnja javne rasvjete</t>
  </si>
  <si>
    <t>Izgradnja stadiona Tušanj - I faza</t>
  </si>
  <si>
    <t>Izdaci za utrošak energije komunalnih objekata</t>
  </si>
  <si>
    <t xml:space="preserve"> Izdaci za horizontalnu i vertikalnu signalizaciju i vizuelne komunikacije</t>
  </si>
  <si>
    <t xml:space="preserve">Grantovi za kulturne manifestacije </t>
  </si>
  <si>
    <t>TEKUĆI IZDACI</t>
  </si>
  <si>
    <t xml:space="preserve">   UKUPNO</t>
  </si>
  <si>
    <t>UKUPNA SREDSTVA</t>
  </si>
  <si>
    <t>UKUPNI RASHODI</t>
  </si>
  <si>
    <t>POREZ NA PRODAJU DOBARA I USLUGA, UKUPNI PROMET ILI DODANU VRIJEDNOST (ZAOSTALE UPLATE)</t>
  </si>
  <si>
    <t>Porez na promet usluga</t>
  </si>
  <si>
    <t>SVEGA GRUPA 715100</t>
  </si>
  <si>
    <t>SVEGA GRUPA 715900</t>
  </si>
  <si>
    <t>POREZ NA DOHODAK</t>
  </si>
  <si>
    <t>Prihodi od poreza na dohodak fiz.lica od samostalne djelatnosti</t>
  </si>
  <si>
    <t>Prihodi od poreza na dohodak fiz.lica od nesamostalne djelatnosti</t>
  </si>
  <si>
    <t>Prihodi od poreza na dohodak po konačnom obračunu</t>
  </si>
  <si>
    <t>SVEGA GRUPA 716100</t>
  </si>
  <si>
    <t>PRIHODI OD INDIREKTNIH POREZA</t>
  </si>
  <si>
    <t>SVEGA GRUPA 717100</t>
  </si>
  <si>
    <t>UKUPNI PRIHODI OD POREZA</t>
  </si>
  <si>
    <t>II NEPOREZNI PRIHODI</t>
  </si>
  <si>
    <t>JAVNI PRIHODI OD NEFINANSIJSKIH JAVNIH PREDUZEĆA I FINANSIJSKIH JAVNIH INSTITUCIJA</t>
  </si>
  <si>
    <t>Pravne usluge</t>
  </si>
  <si>
    <t>SVEGA GRUPA 721100</t>
  </si>
  <si>
    <t>OSTALI PRIHODI OD IMOVINE</t>
  </si>
  <si>
    <t xml:space="preserve">Uplaćene refundacije bolovanja </t>
  </si>
  <si>
    <t>SVEGA GRUPA 721200</t>
  </si>
  <si>
    <t>Općinske administrativne takse</t>
  </si>
  <si>
    <t>SVEGA GRUPE 722100</t>
  </si>
  <si>
    <t>Općinske komunalne takse</t>
  </si>
  <si>
    <t>SVEGA GRUPA 722300</t>
  </si>
  <si>
    <t>OSTALE BUDŽETSKE NAKNADE</t>
  </si>
  <si>
    <t>Naknade za osiguranje od požara</t>
  </si>
  <si>
    <t>613991-1</t>
  </si>
  <si>
    <t>Izdaci za manifestacije od posebnog značaja za grad (ceremonije, konferencije, kulturni događaji, značajni datumi)</t>
  </si>
  <si>
    <t>01</t>
  </si>
  <si>
    <t>001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</si>
  <si>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</si>
  <si>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</si>
  <si>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</si>
  <si>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</si>
  <si>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</si>
  <si>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</si>
  <si>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</si>
  <si>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</si>
  <si>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</si>
  <si>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</si>
  <si>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</si>
  <si>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</si>
  <si>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</si>
  <si>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Član 2.</t>
  </si>
  <si>
    <t>821213-12</t>
  </si>
  <si>
    <t>Grant neprofitnoj organizaciji - OKK "Sloboda" Tuzla</t>
  </si>
  <si>
    <t>Naknada za priključenje novih korisnika na vodovodnu i kanalizacionu mrežu</t>
  </si>
  <si>
    <t>SVEGA GRUPA 722400</t>
  </si>
  <si>
    <t xml:space="preserve">POSEBNE NAKNADE I TAKSE </t>
  </si>
  <si>
    <t>Naknade za upotrebu cesta za vozila pravnih lica</t>
  </si>
  <si>
    <t>Naknade za upotrebu cesta za vozila građana</t>
  </si>
  <si>
    <t>SVEGA GRUPA 722500</t>
  </si>
  <si>
    <t>PRIHODI OD PRUŽANJA JAVNIH USLUGA                            (PRIHODI OD SOPSTVENIH DJELATNOSTI)</t>
  </si>
  <si>
    <t>SVEGA GRUPA 722600</t>
  </si>
  <si>
    <t>NEPLANIRANE UPLATE-PRIHODI</t>
  </si>
  <si>
    <t>Uplate za prekoračenje troškova PTT usluga</t>
  </si>
  <si>
    <t>Rekonstrukcija i investiciono održavanje stadiona</t>
  </si>
  <si>
    <t>Izdaci za usluge prevoza i  goriva</t>
  </si>
  <si>
    <t>Naplate premija osigurnja</t>
  </si>
  <si>
    <t>SVEGA GRUPA 722700</t>
  </si>
  <si>
    <t>NOVČANE KAZNE</t>
  </si>
  <si>
    <t>Transfer za rad - JU "Narodno pozorište" Tuzla</t>
  </si>
  <si>
    <t xml:space="preserve"> Bruto plaće - Grad Tuzla</t>
  </si>
  <si>
    <t xml:space="preserve"> PLAĆE ZAPOSLENIH - GRAD TUZLA</t>
  </si>
  <si>
    <t xml:space="preserve"> NAKNADE TROŠKOVA ZAPOSLENIH  - GRAD TUZLA</t>
  </si>
  <si>
    <t xml:space="preserve"> DOPRINOSI POSLODAVACA - GRAD TUZLA</t>
  </si>
  <si>
    <t>Naknade troškova zaposlenih -Grad Tuzla</t>
  </si>
  <si>
    <t xml:space="preserve"> Doprinosi poslodavaca - Grad Tuzla</t>
  </si>
  <si>
    <t>Izdaci za komunikaciju (Gradske službe)</t>
  </si>
  <si>
    <t>Nabavka materijala - Gradska Izborna Komisija</t>
  </si>
  <si>
    <t>Izdaci za tekuće održavanje zgrade, opreme i vozila za rad Gradskih službi i MZ</t>
  </si>
  <si>
    <t>Ugovorene usluge - rad Gradskih službi</t>
  </si>
  <si>
    <t>Naknade vijećnicima u GV Tuzla</t>
  </si>
  <si>
    <t>Nakande članovima radnih tijela GV</t>
  </si>
  <si>
    <t>Naknade članovima Gradske Izborne Komisije</t>
  </si>
  <si>
    <t>Nabavka opreme - Gradske službe, Javne ustanove</t>
  </si>
  <si>
    <t xml:space="preserve"> Gradsko vijeće</t>
  </si>
  <si>
    <t xml:space="preserve"> Sredstva za rad Gradske Izborne komisije</t>
  </si>
  <si>
    <t xml:space="preserve"> Gradsko pravobranilaštvo</t>
  </si>
  <si>
    <t>01. GRADSKO VIJEĆE</t>
  </si>
  <si>
    <t xml:space="preserve"> GRADSKO VIJEĆE</t>
  </si>
  <si>
    <t>01/2. GRADSKO VIJEĆE</t>
  </si>
  <si>
    <t>Naknade članovima Gradske Izborne komisije</t>
  </si>
  <si>
    <t xml:space="preserve"> SREDSTVA ZA RAD GRADSKE IZBORNE KOMISIJE </t>
  </si>
  <si>
    <t>UKUPNO GRADSKO VIJEĆE</t>
  </si>
  <si>
    <t>Grantovi neprofitnim organizacijama - Učešće grada u projektima EU i drugih međunarodnih organizacija</t>
  </si>
  <si>
    <t xml:space="preserve"> UKUPNO GRADSKO PRAVOBRANILAŠTVO</t>
  </si>
  <si>
    <t>Gradsko vijeće</t>
  </si>
  <si>
    <t>Grad Tuzla</t>
  </si>
  <si>
    <t>SVEGA GRUPA 723100</t>
  </si>
  <si>
    <t>UKUPNI NEPOREZNI PRIHODI</t>
  </si>
  <si>
    <t>SVEGA GRUPA 732100</t>
  </si>
  <si>
    <t>UKUPNO</t>
  </si>
  <si>
    <t>Poseban porez na plaću za zaštitu od prirodnih i dr. nesreća</t>
  </si>
  <si>
    <t>SVEGA GRUPA 719100</t>
  </si>
  <si>
    <t>Izdaci za održavanje komunalne infrastrukture</t>
  </si>
  <si>
    <t xml:space="preserve">Izdaci za porez na dobit </t>
  </si>
  <si>
    <t>Izdaci za energiju - službe (el.energ. i cent.grijanje)</t>
  </si>
  <si>
    <t>Izdaci za energiju - javna rasvjeta</t>
  </si>
  <si>
    <t>Grantovi pojedincima - korisnicima BiZ-a</t>
  </si>
  <si>
    <t>Grantovi pojedincima - stipendije</t>
  </si>
  <si>
    <t>Grantovi pojedincima - socijalne pomoći</t>
  </si>
  <si>
    <t>Grantovi pojedincima - pom.povratku (raseljena lica)</t>
  </si>
  <si>
    <t xml:space="preserve"> OBRAZOVANJE OBDANIŠTE "NAŠE DIJETE" TUZLA</t>
  </si>
  <si>
    <t xml:space="preserve">D. SREDSTVA JU ZA PREDŠKOLSKI ODGOJ I </t>
  </si>
  <si>
    <t>Donacije iz inostranstva</t>
  </si>
  <si>
    <t xml:space="preserve"> 03. SLUŽBA ZA BUDŽET I FINANSIJE</t>
  </si>
  <si>
    <t>05. SLUŽBA ZA KOMUNALNE POSLOVE, IZGRADNJU I POSLOVE MJESNIH ZAJEDNICA</t>
  </si>
  <si>
    <t xml:space="preserve"> 05. ODJELJENJE ZA KOMUNALNU INFRASTRUKTURU</t>
  </si>
  <si>
    <t>05. SLUŽBA ZA KOMUNALNE POSLOVE, IZGRADNJU I POSLOVE MZ</t>
  </si>
  <si>
    <t>614311-48</t>
  </si>
  <si>
    <t>Grantovi za raseljena lica - pomoć povratku</t>
  </si>
  <si>
    <t>821213-10</t>
  </si>
  <si>
    <t>821221-1</t>
  </si>
  <si>
    <t>821222-1</t>
  </si>
  <si>
    <t>Izgradnja i rekonstrukcija puteva</t>
  </si>
  <si>
    <t>821222-2</t>
  </si>
  <si>
    <t>821224-1</t>
  </si>
  <si>
    <t>821224-2</t>
  </si>
  <si>
    <t>Transferi za rad Javnih preduzeća i drugih organizacija</t>
  </si>
  <si>
    <t>Stambeno rješavanje korisnika BIZ-a - sredstva TK</t>
  </si>
  <si>
    <t>Donatorska sredstva</t>
  </si>
  <si>
    <t xml:space="preserve"> Bruto plaće - Javne ustanove</t>
  </si>
  <si>
    <t>Naknade troškova zaposlenih - Javne ustanove</t>
  </si>
  <si>
    <t xml:space="preserve"> Doprinosi poslodavaca - Javne ustanove</t>
  </si>
  <si>
    <t>613976-3</t>
  </si>
  <si>
    <t>613727-11</t>
  </si>
  <si>
    <t>Sred.za izmirenje naknada za zemljište, izdavanje urbanističke.građevinske i upotrebne dozvole i dr.tr.potrebnih za upis prava vlasništva na nekretninama</t>
  </si>
  <si>
    <t>KAPITALNI GRANTOVI POJEDINCIMA</t>
  </si>
  <si>
    <t>0405 - JU GRADSKI STADION "TUŠANJ" TUZLA</t>
  </si>
  <si>
    <t>TEKUĆI TRANSFERI OD  OSTALIH NIVOA VLASTI</t>
  </si>
  <si>
    <t>OSTALI  POREZI (ZAOSTALE UPLATE)</t>
  </si>
  <si>
    <t>RAZDJEL</t>
  </si>
  <si>
    <t>GLAVA</t>
  </si>
  <si>
    <t>RASHODI</t>
  </si>
  <si>
    <t>KOD FUNKCIJE</t>
  </si>
  <si>
    <t>A. TEKUĆI IZDACI</t>
  </si>
  <si>
    <t xml:space="preserve"> Putni toškovi</t>
  </si>
  <si>
    <t xml:space="preserve"> Izdaci za komunalne usluge</t>
  </si>
  <si>
    <t xml:space="preserve"> Nabavka materijala</t>
  </si>
  <si>
    <t xml:space="preserve"> Ugovorene usluge</t>
  </si>
  <si>
    <t xml:space="preserve"> B.  KAPITALNI IZDACI</t>
  </si>
  <si>
    <t xml:space="preserve"> Nabavka opreme </t>
  </si>
  <si>
    <t>B. RASHODI</t>
  </si>
  <si>
    <t xml:space="preserve">A. TEKUĆI IZDACI </t>
  </si>
  <si>
    <t>Uspostava monitoringa za potrebe određivanja deformacije tla</t>
  </si>
  <si>
    <t xml:space="preserve">Putni troškovi </t>
  </si>
  <si>
    <t>Nabavka materijala</t>
  </si>
  <si>
    <t>Zakup prostora</t>
  </si>
  <si>
    <t>Izdaci za tekuće održavanje</t>
  </si>
  <si>
    <t>Ugovorene usluge</t>
  </si>
  <si>
    <t xml:space="preserve"> A.  TEKUĆI  IZDACI</t>
  </si>
  <si>
    <t xml:space="preserve"> Naknade troškova zaposlenih</t>
  </si>
  <si>
    <t xml:space="preserve"> Putni troškovi</t>
  </si>
  <si>
    <t xml:space="preserve"> Protokolarni troškovi</t>
  </si>
  <si>
    <t xml:space="preserve"> Ostale ugovorene usluge</t>
  </si>
  <si>
    <t>Naknada za angažovani kapacitet u sist. daljinsk. zagrijavanja</t>
  </si>
  <si>
    <t xml:space="preserve"> IZDACI ZA MATERIJAL, SITAN INVENTAR I USLUGE</t>
  </si>
  <si>
    <t>IZDACI ZA KOMUNIKACIJU I KOMUNALNE USLUGE</t>
  </si>
  <si>
    <t>NABAVKA MATERIJALA I SITNOG INVENTARA</t>
  </si>
  <si>
    <t xml:space="preserve"> UNAJMLJIVANJE IMOVINE, OPREME I NEMAT. IMOV.</t>
  </si>
  <si>
    <t xml:space="preserve"> IZDACI ZA KAMATE </t>
  </si>
  <si>
    <t xml:space="preserve">Izdaci za kamate </t>
  </si>
  <si>
    <t xml:space="preserve"> Kapitalni transferi od pojedinaca</t>
  </si>
  <si>
    <t>Izdaci za rad volontera</t>
  </si>
  <si>
    <t xml:space="preserve"> B.  KAPITALNI  IZDACI</t>
  </si>
  <si>
    <t xml:space="preserve"> Nabavka opreme</t>
  </si>
  <si>
    <t xml:space="preserve"> A. TEKUĆI  IZDACI</t>
  </si>
  <si>
    <t xml:space="preserve"> Izdaci za tekuće održavanje</t>
  </si>
  <si>
    <t xml:space="preserve"> UKUPNO SLUŽBA ZA BUDŽET I FINANSIJE</t>
  </si>
  <si>
    <t>Ostale ugovorene usluge</t>
  </si>
  <si>
    <t>Prihodi od pružanja usluga pravnim licima</t>
  </si>
  <si>
    <t>NEPLANIRANE UPLATE - PRIHODI</t>
  </si>
  <si>
    <t>KAPITALNI GRANTOVI NEPROFITNIM ORGANIZ.</t>
  </si>
  <si>
    <t>IZDACI ZA OSIGURANJA, BANK. USL. I PLAT. PROMET</t>
  </si>
  <si>
    <t>Ostale neplanirane uplate</t>
  </si>
  <si>
    <t>UKUPNO NEPOREZNI PRIHODI</t>
  </si>
  <si>
    <t>II TEKUĆI TRANSFERI (TRANSFERI I DONACIJE)</t>
  </si>
  <si>
    <t>Izdaci za hardverske i softverske usluge</t>
  </si>
  <si>
    <t>613951-2</t>
  </si>
  <si>
    <t>Poseban porez na plaću za zaštitu od prirodnih i dr.nesreća po osnovu Ugovora o djelu i privr. i povrem. poslova</t>
  </si>
  <si>
    <t>Nakande savjetima MZ</t>
  </si>
  <si>
    <t xml:space="preserve">Naknade biračkim odborima i tehničkom osoblju </t>
  </si>
  <si>
    <t xml:space="preserve"> Izdaci za preventivnu DDD (derat., dezinfekc. i dezinsekcija)</t>
  </si>
  <si>
    <t>Usluge - oblast prost. uređenja i urbanističkog planiranja</t>
  </si>
  <si>
    <t>Naknada za sklad. građ.materijala., kampinga, pristaništa i javnih manifestacija</t>
  </si>
  <si>
    <t>Prihodi od poreza na dohodak fiz. lica od ulaganja kapitala</t>
  </si>
  <si>
    <t>OPĆE JAVNE USLUGE</t>
  </si>
  <si>
    <t>Finansijski i fiskalni poslovi</t>
  </si>
  <si>
    <t xml:space="preserve"> Opšte javne službe</t>
  </si>
  <si>
    <t xml:space="preserve"> Izvršni i zakonodavni organi                       </t>
  </si>
  <si>
    <t>Izrada elaborata i studijskih separata</t>
  </si>
  <si>
    <t>613951-6</t>
  </si>
  <si>
    <t>Ostale opće usluge</t>
  </si>
  <si>
    <t xml:space="preserve"> ODBRANA</t>
  </si>
  <si>
    <t>Civilna odbrana</t>
  </si>
  <si>
    <t xml:space="preserve"> JAVNI RED I SIGURNOST</t>
  </si>
  <si>
    <t>Zaštita od prirodne nepogode</t>
  </si>
  <si>
    <t>Usluge vatrogasne zaštite</t>
  </si>
  <si>
    <t>EKONOMSKI POSLOVI</t>
  </si>
  <si>
    <t>Poljoprivreda</t>
  </si>
  <si>
    <t>Izgradnja</t>
  </si>
  <si>
    <t>Višenamjenski projekti razvoja</t>
  </si>
  <si>
    <t>Poslovi iz oblasti razvoja</t>
  </si>
  <si>
    <t>Ekonomska pomoć usmjerena preko međun. organizacija</t>
  </si>
  <si>
    <t>Komunalni poslovi</t>
  </si>
  <si>
    <t>Vodosnabdijevanje</t>
  </si>
  <si>
    <t>Ulična rasvjeta</t>
  </si>
  <si>
    <t>ZDRAVSTVO</t>
  </si>
  <si>
    <t>Ostali povrati</t>
  </si>
  <si>
    <t>Ostale usluge zdravstvene zaštite</t>
  </si>
  <si>
    <t xml:space="preserve"> Zdravstvena zaštita životinja</t>
  </si>
  <si>
    <t>REKREACIJA, KULTURA I RELIGIJA</t>
  </si>
  <si>
    <t>Usluge sporta i rekreacije</t>
  </si>
  <si>
    <t>Usluge  kulture</t>
  </si>
  <si>
    <t xml:space="preserve">Usluge emitovanja i izdavalaštva </t>
  </si>
  <si>
    <t>Religijske i druge zajedničke usluge</t>
  </si>
  <si>
    <t>Predškolsko obrazovanje</t>
  </si>
  <si>
    <t>Podrška iz oblasti obrazovanja</t>
  </si>
  <si>
    <t>OBRAZOVANJE</t>
  </si>
  <si>
    <t>SOCIJALNA ZAŠTITA</t>
  </si>
  <si>
    <t>Socijalna zaštita</t>
  </si>
  <si>
    <t>Oblast BIZ-a</t>
  </si>
  <si>
    <t>Raseljena i prognana lica</t>
  </si>
  <si>
    <t>ODBRANA</t>
  </si>
  <si>
    <t xml:space="preserve"> REKREACIJA, KULTURA I RELIGIJA</t>
  </si>
  <si>
    <t xml:space="preserve"> SOCIJALNA ZAŠTITA</t>
  </si>
  <si>
    <t>Prihodi od poreza na dohodak fiz. lica od imovine i imov.prava</t>
  </si>
  <si>
    <t>Prihodi od poreza na dohodak fiz. lica na dobitke od nagradnih igara i igara na sreću</t>
  </si>
  <si>
    <t>Novčane kazne za prekr. koji su reg. u reg. nov. kazni i troš. prekršajnog postupka</t>
  </si>
  <si>
    <t>Naknada po osnovu prirodnih pogodnosti - Renta</t>
  </si>
  <si>
    <t>UKUPNO TEKUĆI TRANSFERI</t>
  </si>
  <si>
    <t>B/ UKUPNO SREDSTVA JU CENTAR ZA SOCIJALNI RAD TUZLA</t>
  </si>
  <si>
    <t>E. SREDSTVA JU GRADSKI STADION "TUŠANJ" TUZLA</t>
  </si>
  <si>
    <t>E/ UKUPNO SREDSTVA JU GRADSKI STADION "TUŠANJ" TUZLA</t>
  </si>
  <si>
    <t>0505</t>
  </si>
  <si>
    <t>0406</t>
  </si>
  <si>
    <t>Transfer za rad - Crveni križ grada Tuzla</t>
  </si>
  <si>
    <t>Kapitalni grant za razvoj primarne poljoprivredne proizvodnje</t>
  </si>
  <si>
    <t xml:space="preserve">Izgradnja vrelovodne mreže, optimizacija sistema daljinskog grijanja </t>
  </si>
  <si>
    <t>Grant neprofitnim organizacijama -  DVD-a na području grada Tuzla</t>
  </si>
  <si>
    <t xml:space="preserve"> Naknade vijećnicima za rad u Gradskom vijeću</t>
  </si>
  <si>
    <t xml:space="preserve"> Naknade članovima radnih tijela Gradskog vijeća</t>
  </si>
  <si>
    <t>Transfer za rad parlamentarnih grupa - klubova vijećnika u GV Tuzla</t>
  </si>
  <si>
    <t xml:space="preserve">Prihodi od pružanja usluga građanima </t>
  </si>
  <si>
    <t xml:space="preserve">Prihodi od pružanja usluga pravnim licima </t>
  </si>
  <si>
    <t xml:space="preserve">Naknada za stručne komisije </t>
  </si>
  <si>
    <t>Izdaci za prevoz</t>
  </si>
  <si>
    <t xml:space="preserve">Ostale neplanirane uplate </t>
  </si>
  <si>
    <t xml:space="preserve">Primljeni  tekući transferi od kantona </t>
  </si>
  <si>
    <t xml:space="preserve">UKUPNI RASHODI </t>
  </si>
  <si>
    <t>Grantovi za sportske manifestacije</t>
  </si>
  <si>
    <t>613975-1</t>
  </si>
  <si>
    <t>613975-2</t>
  </si>
  <si>
    <t>Izdaci za komunikaciju</t>
  </si>
  <si>
    <t>Izdaci za fizičko osiguranje objekata</t>
  </si>
  <si>
    <t>613976-1</t>
  </si>
  <si>
    <t>Naknade biračkim odborima i tehničkom osoblju</t>
  </si>
  <si>
    <t>613991-2</t>
  </si>
  <si>
    <t>613976-4</t>
  </si>
  <si>
    <t>613991-3</t>
  </si>
  <si>
    <t>Grantovi za zaštitu kulturno istorijskog i prirodnog naslijeđa</t>
  </si>
  <si>
    <t xml:space="preserve"> Izdaci za energiju</t>
  </si>
  <si>
    <t>PRIHODI OD PRUŽANJA JAVNIH USLUGA (PRIHODI OD SOPSTVENIH DJELATNOSTI)</t>
  </si>
  <si>
    <t>Tekući grant za finansiranje projekata iz oblasti poduzetništva</t>
  </si>
  <si>
    <t>Tekući grant za razvoj primarne poljoprivredne proizvodnje</t>
  </si>
  <si>
    <t>Prihodi od pružanja usluga građanima</t>
  </si>
  <si>
    <t>I NEPOREZNI PRIHODI</t>
  </si>
  <si>
    <t>Prihodi od iznajmljivanja poslovnih prostora i ostale materijalne imovine</t>
  </si>
  <si>
    <t>614311-20</t>
  </si>
  <si>
    <t>613973-10</t>
  </si>
  <si>
    <t>614239-1</t>
  </si>
  <si>
    <t>614239-8</t>
  </si>
  <si>
    <t>614311-7</t>
  </si>
  <si>
    <t>614311-37</t>
  </si>
  <si>
    <t>614311-17</t>
  </si>
  <si>
    <t>614311-18</t>
  </si>
  <si>
    <t>614311-28</t>
  </si>
  <si>
    <t>614311-29</t>
  </si>
  <si>
    <t>614311-31</t>
  </si>
  <si>
    <t>614311-32</t>
  </si>
  <si>
    <t>614311-33</t>
  </si>
  <si>
    <t>614311-34</t>
  </si>
  <si>
    <t>614329-2</t>
  </si>
  <si>
    <t>614329-3</t>
  </si>
  <si>
    <t>614329-4</t>
  </si>
  <si>
    <t>614329-6</t>
  </si>
  <si>
    <t>614329-7</t>
  </si>
  <si>
    <t>614329-10</t>
  </si>
  <si>
    <t>613727-2</t>
  </si>
  <si>
    <t>Troškovi održavanja poslovnih prostora</t>
  </si>
  <si>
    <t>614329-18</t>
  </si>
  <si>
    <t xml:space="preserve"> B. KAPITALNI  IZDACI</t>
  </si>
  <si>
    <t>Naknade za povrat više ili pogrešno uplaćenih sredstava</t>
  </si>
  <si>
    <t xml:space="preserve">Primljeni tekući transferi od Države </t>
  </si>
  <si>
    <t>Porez na imovinu za motorna vozila</t>
  </si>
  <si>
    <t xml:space="preserve"> Ugovorene usluge - kontrola  kvaliteta i higijenske ispravnosti namirnica </t>
  </si>
  <si>
    <t xml:space="preserve"> UKUPNO SLUŽBA ZA INSPEKCIJSKE POSLOVE</t>
  </si>
  <si>
    <t>Izdaci za energiju</t>
  </si>
  <si>
    <t>Izdaci za usluge prevoza i goriva</t>
  </si>
  <si>
    <t>Izdaci za osiguranje</t>
  </si>
  <si>
    <t xml:space="preserve"> UKUPNO SLUŽBA ZA OPĆU UPRAVU  I  ZAJEDNIČKE POSLOVE</t>
  </si>
  <si>
    <t>613210</t>
  </si>
  <si>
    <t>614232-1</t>
  </si>
  <si>
    <t>614232-3</t>
  </si>
  <si>
    <t>614311-11</t>
  </si>
  <si>
    <t xml:space="preserve"> Transfer za rad organizacija i udruženje iz oblasti BIZ-a</t>
  </si>
  <si>
    <t xml:space="preserve"> Izdaci za energiju - javna rasvjeta</t>
  </si>
  <si>
    <t xml:space="preserve"> Izdaci za održavanje  higijene grada</t>
  </si>
  <si>
    <t xml:space="preserve">GRAĐEVINE I OSTALI OBJEKTI  </t>
  </si>
  <si>
    <t xml:space="preserve"> Izdaci za održavanje zelenih površina</t>
  </si>
  <si>
    <t xml:space="preserve"> Izdaci za održavanje oborinske kanalizacije</t>
  </si>
  <si>
    <t xml:space="preserve"> Izdaci za održavanje semafora</t>
  </si>
  <si>
    <t xml:space="preserve"> Izdaci za tekuće održavanje javne rasvjete</t>
  </si>
  <si>
    <t xml:space="preserve"> Izdaci za tekuće održavanje puteva</t>
  </si>
  <si>
    <t>POTROŠAČKO                  MJESTO</t>
  </si>
  <si>
    <t xml:space="preserve"> Izdaci za preventivnu DDD (deratizacija, dezinfekcija i dezinsekcija)</t>
  </si>
  <si>
    <t xml:space="preserve"> Ukupni tekući izdaci </t>
  </si>
  <si>
    <t xml:space="preserve"> Izdaci za tekuće održavanje prostorija MZ</t>
  </si>
  <si>
    <t xml:space="preserve"> ODJELJENJE ZA POSLOVE MJESNIH ZAJEDNICA</t>
  </si>
  <si>
    <t>UKUPNO SLUŽBA ZA KOMUNALNE POSLOVE, IZGRADNJU I POSLOVE MZ</t>
  </si>
  <si>
    <t>614311-35</t>
  </si>
  <si>
    <t xml:space="preserve"> Tekuća rezerva budžeta</t>
  </si>
  <si>
    <t>UKUPNO ZAVOD ZA URBANIZAM</t>
  </si>
  <si>
    <t xml:space="preserve"> B.   KAPITALNI IZDACI</t>
  </si>
  <si>
    <t>POTROŠAČKO                     MJESTO</t>
  </si>
  <si>
    <t>PRIHODI OD NAKNADA</t>
  </si>
  <si>
    <t>Naknada za prihode ostvarene radom termoelektrana</t>
  </si>
  <si>
    <t>06</t>
  </si>
  <si>
    <t>05. SLUŽBA ZA KOMUNALNE POSLOVE,IZGRADNJU I POSLOVE MZ</t>
  </si>
  <si>
    <t>OSTALE BUDŽETSKE NAKNADE I TAKSE</t>
  </si>
  <si>
    <t>Izgradnja vrelovodne mreže</t>
  </si>
  <si>
    <t>Nabavka opreme</t>
  </si>
  <si>
    <t>Izgradnja i rekonstrukcija vodov. i kanalizacione mreže i objekata vodosnabdijevanja</t>
  </si>
  <si>
    <t>614311-36</t>
  </si>
  <si>
    <t>Ukupni tekući izdaci</t>
  </si>
  <si>
    <t>B. KAPITALNI IZDACI</t>
  </si>
  <si>
    <t>Izdaci za energiju komunalnih objekata</t>
  </si>
  <si>
    <t>FUNKCIONALNA KLASIFIKACIJA</t>
  </si>
  <si>
    <t>NAZIV ORGANIZACIJE</t>
  </si>
  <si>
    <t>RASHODI JAVNIH USTANOVA</t>
  </si>
  <si>
    <t>SREDSTVA  JAVNIH USTANOVA</t>
  </si>
  <si>
    <t>0400</t>
  </si>
  <si>
    <t>1500</t>
  </si>
  <si>
    <t>1300</t>
  </si>
  <si>
    <t xml:space="preserve"> 0301 - SLUŽBA ZA BUDŽET I FINANSIJE </t>
  </si>
  <si>
    <t>0501 - SLUŽBA ZA KOMUNALNE POSLOVE, IZGRADNJU I POSLOVE MJESNIH ZAJEDNICA</t>
  </si>
  <si>
    <t>0502 - ODJELJENJE ZA KOMUN. INFRASTRUKTURU</t>
  </si>
  <si>
    <t>0504 - ODJELJENJE ZA POSLOVE  MJESNIH ZAJEDNICA</t>
  </si>
  <si>
    <t>Primljeni kapitalni transferi od kantona</t>
  </si>
  <si>
    <t>613951-3</t>
  </si>
  <si>
    <t>Porez na osnovu autorskih prava, patenata i tehničkih unapređenja</t>
  </si>
  <si>
    <t xml:space="preserve">Transfer za rad -JP "RTV 7 Tuzla" </t>
  </si>
  <si>
    <t>A. TEKUĆI  IZDACI</t>
  </si>
  <si>
    <t>Izdaci za tekuće održavanje Urbanog mobilijara</t>
  </si>
  <si>
    <t>Izrada projektne dokumentacije</t>
  </si>
  <si>
    <t>821213-2</t>
  </si>
  <si>
    <t>Izgradnja sportskih terena i sportskih objekata</t>
  </si>
  <si>
    <t>Izgradnja vodovodne i kanalizacione mreže i objekata vodosnabdijevanja</t>
  </si>
  <si>
    <t xml:space="preserve"> Ukupni kapitalni izdaci</t>
  </si>
  <si>
    <t>613994-1</t>
  </si>
  <si>
    <t>Grant  ADSFBiH za  obuku državnih službenika i namještenika</t>
  </si>
  <si>
    <t xml:space="preserve">Učešće u izgradnji stambenih  jedinica socijalnog stanovanja </t>
  </si>
  <si>
    <t>UKUPNI KAPITALNI  TRANSFERI</t>
  </si>
  <si>
    <t xml:space="preserve">02. STRUČNA SLUŽBA ZA POSLOVE GRADONAČELNIKA </t>
  </si>
  <si>
    <t xml:space="preserve">0201 - STRUČNA SLUŽBA ZA POSLOVE GRADONAČELNIKA </t>
  </si>
  <si>
    <t>STRUČNA SLUŽBA ZA POSLOVE GRADONAČELNIKA</t>
  </si>
  <si>
    <t>02. STRUČNA SLUŽBA ZA POSLOVE GRADONAČELNIKA</t>
  </si>
  <si>
    <t>UKUPNO STRUČNA SLUŽBA ZA POSLOVE GRADONAČELNIKA</t>
  </si>
  <si>
    <t xml:space="preserve">Stručna služba za poslove gradonačelnika </t>
  </si>
  <si>
    <t xml:space="preserve"> 11. SLUŽBA ZA BORAČKO - INVALIDSKU ZAŠTITU, STAMBENE POSLOVE I INTEGRACIJU RASELJENIH LICA</t>
  </si>
  <si>
    <t xml:space="preserve"> 1101 - SLUŽBA ZA BORAČKO - INVALIDSKU ZAŠTITU, STAMBENE POSLOVE I INTEGRACIJU RASELJENIH LICA</t>
  </si>
  <si>
    <t xml:space="preserve"> SLUŽBA ZA BORAČKO - INVALIDSKU ZAŠTITU, STAMBENE POSLOVE I INTEGRACIJU RASELJENIH LICA</t>
  </si>
  <si>
    <t xml:space="preserve"> SLUŽBA ZA BORAČKO - INVALIDSKU ZAŠTITU, STAMBENE POSLOVE I INTEGRACIJU RASELJENIH LICA -  SREDSTVA TK</t>
  </si>
  <si>
    <t xml:space="preserve"> SLUŽBA ZA BORAČKO - INVALIDSKU ZAŠTITU, STAMBENE POSLOVE I INTEGRACIJU RASELJENIH LICA -STAMBENI FOND ZA SOCIJALNO STANOVANJE</t>
  </si>
  <si>
    <t xml:space="preserve"> UKUPNO SLUŽBA ZA BORAČKO - INVALIDSKU ZAŠTITU, STAMBENE POSLOVE I INTEGRACIJU RASELJENIH LICA</t>
  </si>
  <si>
    <t xml:space="preserve"> Služba za boračko - invalidsku zaštitu, stambene poslove i integraciju raseljenih lica</t>
  </si>
  <si>
    <t xml:space="preserve"> Služba za boračko - invalidsku zaštitu, stambene poslove i integraciju raseljenih lica- Sredstva TK</t>
  </si>
  <si>
    <t xml:space="preserve"> Služba za boračko - invalidsku zaštitu, stambene poslove i integraciju raseljenih lica - Stambeni fond za socijalno stanovanje</t>
  </si>
  <si>
    <t xml:space="preserve"> Stručna služba Gradskog vijeća </t>
  </si>
  <si>
    <t xml:space="preserve">13. STRUČNA SLUŽBA GRADSKOG VIJEĆA </t>
  </si>
  <si>
    <t>1301 - STRUČNA SLUŽBA GRADSKOG VIJEĆA</t>
  </si>
  <si>
    <t xml:space="preserve">UKUPNO STRUČNA SLUŽBA GRADSKOG VIJEĆA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</si>
  <si>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Rekonstrukcija zgrade</t>
  </si>
  <si>
    <t xml:space="preserve"> Sanacija klizišta</t>
  </si>
  <si>
    <t>UKUPNO SLUŽBA CIVILNE ZAŠTITE</t>
  </si>
  <si>
    <t>1202</t>
  </si>
  <si>
    <t>KAPITALNI TRANSFERI</t>
  </si>
  <si>
    <t>NEPOREZNI PRIHODI</t>
  </si>
  <si>
    <t>POSEBNE NAKNADE I TAKSE</t>
  </si>
  <si>
    <t>TEKUĆI TRANSFERI I DONACIJE</t>
  </si>
  <si>
    <t xml:space="preserve"> KAPITALNI TRANSFERI OD INOZEMNIH VLADA</t>
  </si>
  <si>
    <t xml:space="preserve"> KAPITALNI TRANSFERI OD OSTALIH NIVOA VLASTI</t>
  </si>
  <si>
    <t xml:space="preserve"> KAPITALNI TRANSFERI OD NEVLADINIH IZVORA</t>
  </si>
  <si>
    <t>UKUPNI TEKUĆI TRANSFERI I DONACIJE</t>
  </si>
  <si>
    <t>PRIMICI</t>
  </si>
  <si>
    <t>UKUPNI  PRIMICI</t>
  </si>
  <si>
    <t>OTPLATA KREDITA</t>
  </si>
  <si>
    <t>615411-9</t>
  </si>
  <si>
    <t>Ostali transferii  za obavezno zdravstveno osiguranje za lica u stanju socijalne potrebe</t>
  </si>
  <si>
    <t>Ostali transferi pojedincima na području zdravstvenog osiguranja</t>
  </si>
  <si>
    <t xml:space="preserve">Učešće u izgradnji stam. jedinica za socijalno stanovanje </t>
  </si>
  <si>
    <t xml:space="preserve"> </t>
  </si>
  <si>
    <t xml:space="preserve"> 1102 - STAMBENI FOND ZA SOCIJALNO STANOVANJE</t>
  </si>
  <si>
    <t>1102</t>
  </si>
  <si>
    <t>1103</t>
  </si>
  <si>
    <t>613991-8</t>
  </si>
  <si>
    <t>Usluge projektne dokumentacije - nadzor, studije i tehn. usluge</t>
  </si>
  <si>
    <t>1101/I</t>
  </si>
  <si>
    <t xml:space="preserve"> 1101/I - SLUŽBA ZA BORAČKO - INVALIDSKU ZAŠTITU, STAMBENE POSLOVE I INTEGRACIJU RASELJENIH LICA -SREDSTVA TK</t>
  </si>
  <si>
    <t>Grant za ostale nacionalne manjine</t>
  </si>
  <si>
    <t xml:space="preserve">Izgradnja Poslovnih  zona </t>
  </si>
  <si>
    <t>614239-11</t>
  </si>
  <si>
    <t>614311-60</t>
  </si>
  <si>
    <t>Grant za Crveni križ  za projekat tuđe  njege i pomoći  u gradu Tuzla</t>
  </si>
  <si>
    <t>Kapitalni grant - Učešće grada u projektima EU i drugih međunarodnih organizacija</t>
  </si>
  <si>
    <t>615721-3</t>
  </si>
  <si>
    <t>KAPITALNI TRANSFERI U INOSTRANSTVO</t>
  </si>
  <si>
    <t>Kapitalni transferi međunarodnim organizacijama</t>
  </si>
  <si>
    <t>Grant za podršku privatnim preduzećima i poduzetnicima</t>
  </si>
  <si>
    <t>614511-1</t>
  </si>
  <si>
    <t>0102 - SREDSTVA ZA RAD GRADSKE IZBORNE                 KOMISIJE</t>
  </si>
  <si>
    <t>Izgradnja Poslovnih zona</t>
  </si>
  <si>
    <t xml:space="preserve"> UKUPNO TEKUĆI IZDACI</t>
  </si>
  <si>
    <t>1.  PRIHODI (1.1.+1.2+1.3.+1.4.)</t>
  </si>
  <si>
    <t>2.  RASHODI (2.1.+2.2.)</t>
  </si>
  <si>
    <t xml:space="preserve">    2.1.RASHODI</t>
  </si>
  <si>
    <t xml:space="preserve">    2.2.TEKUĆA REZERVA</t>
  </si>
  <si>
    <t>3. TEKUĆI BILANS (1. - 2.)</t>
  </si>
  <si>
    <t>4. KAPITALNI PRIMICI</t>
  </si>
  <si>
    <t>5. KAPITALNI IZDACI</t>
  </si>
  <si>
    <t>6. NETO NABAVKA NEFINANSIJSKE IMOVINE  (4.-5.)</t>
  </si>
  <si>
    <t>7.UKUPAN DEFICIT /SUFICIT(3.+6.)</t>
  </si>
  <si>
    <t>10. NETO FINANSIRANJE (8.-9.)</t>
  </si>
  <si>
    <t>11. UKUPAN FINANSIJSKI REZULTAT (7.+10.)</t>
  </si>
  <si>
    <t xml:space="preserve">     1.1.1. Porez na dobit pojedinca</t>
  </si>
  <si>
    <t xml:space="preserve">     1.1.2. Porez na plaće</t>
  </si>
  <si>
    <t xml:space="preserve">     1.1.4. Porez na promet proizvoda i usluga</t>
  </si>
  <si>
    <t xml:space="preserve">     1.1.3. Porez na imovinu</t>
  </si>
  <si>
    <t xml:space="preserve">     1.1.5. Porez na dohodak</t>
  </si>
  <si>
    <t xml:space="preserve">     1.1.6. Prihodi od indirektnih poreza</t>
  </si>
  <si>
    <t xml:space="preserve">  1.2. NEPOREZNI PRIHODI</t>
  </si>
  <si>
    <t xml:space="preserve">  1.3. TEKUĆI TRANSFERI (TRANSFERI I  DONACIJE)</t>
  </si>
  <si>
    <t xml:space="preserve">  1.4. KAPITALNI TRANSFERI</t>
  </si>
  <si>
    <t>8. PRIMICI OD FINANSIJSKE IMOVINE I ZADUŽIVANJA (8.1.)</t>
  </si>
  <si>
    <t xml:space="preserve">   9.1. IZDACI ZA OTPLATE DUGOVA</t>
  </si>
  <si>
    <t>Otplate kredita</t>
  </si>
  <si>
    <t>C. IZDACI ZA OTPLATU DUGOVA</t>
  </si>
  <si>
    <t>UKUPNO IZDACI ZA OTPLATU DUGOVA</t>
  </si>
  <si>
    <t>Primljeni kapitalni transferi od Države</t>
  </si>
  <si>
    <t>IZDACI ZA OTPLATU DUGOVA</t>
  </si>
  <si>
    <t>615411-13</t>
  </si>
  <si>
    <t>Izdaci za održavanje kompleksa Slana banja</t>
  </si>
  <si>
    <t>613727-17</t>
  </si>
  <si>
    <t>Ukupni izdaci za otplatu dugova</t>
  </si>
  <si>
    <t xml:space="preserve">                                                                                      Član 4.</t>
  </si>
  <si>
    <t>Grant. neprofitnim organizacijama - Kulturno nacionalna udruženja</t>
  </si>
  <si>
    <t>Tekući grant vjerskim zajednicama</t>
  </si>
  <si>
    <t>Regulacija neregulisanih riječnih vodotoka</t>
  </si>
  <si>
    <t xml:space="preserve"> Održavanje i čišćenje vodotoka</t>
  </si>
  <si>
    <t>UKUPNO SLUŽBA ZA PROSTORNO UREĐENJE I ZAŠTITU OKOLINE</t>
  </si>
  <si>
    <t>SLUŽBA ZA KOMUNALNE POSLOVE, IZGRADNJU I POSLOVE MJESNIH ZAJEDNICA</t>
  </si>
  <si>
    <t>UKUPNI PRIHODI  I PRIMICI</t>
  </si>
  <si>
    <t>UKUPNI PRIHODI</t>
  </si>
  <si>
    <t>Proširenje plaže na prvom Panonskom jezeru</t>
  </si>
  <si>
    <t>Nabavka zemljišta</t>
  </si>
  <si>
    <t>Izgradnja i rekonstrukcija semaforske signalizacije</t>
  </si>
  <si>
    <t>Naknada za korištenje cestovnog zemljišta</t>
  </si>
  <si>
    <t>K.1./SUFICIT/DEFICIT iz prethodne godine</t>
  </si>
  <si>
    <t xml:space="preserve">UKUPNO PRIHODI + PRIMICI </t>
  </si>
  <si>
    <t xml:space="preserve">SUFICIT/DEFICIT- GRAD TUZLA iz prethodne godine </t>
  </si>
  <si>
    <t xml:space="preserve">UKUPNA SREDSTVA </t>
  </si>
  <si>
    <t>Sistematizovani broj radnih mjesta</t>
  </si>
  <si>
    <t>Sistematizovani broj radnih mjesta - Grad Tuzla</t>
  </si>
  <si>
    <t>Sistematizovani broj radnih mjesta - Javne ustanove</t>
  </si>
  <si>
    <t>Zatezne kamate i troškovi spora</t>
  </si>
  <si>
    <t>0407 - JU "CENTAR ZA KULTURU" TUZLA</t>
  </si>
  <si>
    <t xml:space="preserve"> JU CENTAR ZA KULTURU TUZLA </t>
  </si>
  <si>
    <t>0407</t>
  </si>
  <si>
    <t>JU "Centar za kulturu" Tuzla</t>
  </si>
  <si>
    <t>F. SREDSTVA JU CENTAR ZA KULTURU TUZLA</t>
  </si>
  <si>
    <t>F/ UKUPNO SREDSTVA JU CENTAR ZA KULTURU TUZLA</t>
  </si>
  <si>
    <t>PRIMICI OD PRODAJE</t>
  </si>
  <si>
    <t>SVEGA GRUPA 811100</t>
  </si>
  <si>
    <t>614311-63</t>
  </si>
  <si>
    <t>Transfer za rad - UG Nirina Tuzla</t>
  </si>
  <si>
    <t>614311-64</t>
  </si>
  <si>
    <t>Grant neprof. Organ. - Srpsko građansko vijeće Tuzla</t>
  </si>
  <si>
    <t>821614-4</t>
  </si>
  <si>
    <t xml:space="preserve"> Kapitalni izdaci za rekonstrukciju i investciono održavanje gradskih poslovnih prostora</t>
  </si>
  <si>
    <t>Ostala izdvajanja-Podrška u radu udruženja</t>
  </si>
  <si>
    <t>Izdaci za izradu projektne dokumentacije za potrebe lokalnog razvoja</t>
  </si>
  <si>
    <t>Naknade po sudskim presudama, zatezne kamate</t>
  </si>
  <si>
    <t xml:space="preserve">Stručne usluge i pravne usluge </t>
  </si>
  <si>
    <t xml:space="preserve">    8.1.PRIMICI OD DUGOROČNOG ZADUŽIVANJA</t>
  </si>
  <si>
    <t>821619-11</t>
  </si>
  <si>
    <t xml:space="preserve"> Redni broj</t>
  </si>
  <si>
    <t>FINANSIRANJE</t>
  </si>
  <si>
    <t>Razvojna banka FBiH</t>
  </si>
  <si>
    <t>1.</t>
  </si>
  <si>
    <t>Rekonstrukcija gradskih igrališta i parkova na području Općine Tuzla</t>
  </si>
  <si>
    <t>Izgradnja i rekonstrukcija sjeverne saobraćajnice, dionica "Muzička škola-Tenis" na području Općine Tuzla</t>
  </si>
  <si>
    <t>Izgradnja trećeg jezera u kompleksu Panonskih jezera-građevinski dio, na području Općine Tuzla</t>
  </si>
  <si>
    <t>Izgradnja trećeg jezera u kompleksu Panonskih jezera-elekktromašinski, hoidrogeološki i ostali radovi, na području Općine Tuzla</t>
  </si>
  <si>
    <t>2.</t>
  </si>
  <si>
    <t>UniCredit banka</t>
  </si>
  <si>
    <t>Rekonstrukcija ulice Vukovarska I</t>
  </si>
  <si>
    <t>Izgradnja i rekonst. ceste Tušanj-M.Andići</t>
  </si>
  <si>
    <t>Rekonstrukcija ceste Mramor jug - Centar</t>
  </si>
  <si>
    <t>Rekonstrukcija ceste Mramor - Stari Mramor</t>
  </si>
  <si>
    <t>Rekonstrukcija Gradske ulice</t>
  </si>
  <si>
    <t>Rekonstrukcija dijela Aleje Alije Izetbegovića i dijela ulice ZAVNOBIH-a</t>
  </si>
  <si>
    <t>Rekonstrukcija dijela ceste Husino-Kiseljak</t>
  </si>
  <si>
    <t>Izgradnja ceste u Gornjoj Tuzli pored regulisanog korita rijeke Jale</t>
  </si>
  <si>
    <t>Izgradnja biciklističke staze Sjenjak- Hotel Tuzla</t>
  </si>
  <si>
    <t>Rekonstrukcija ulice Albina i Franje Herljevića</t>
  </si>
  <si>
    <t>Rekonstrukcija trotoara, pješačkih površina i arhitektonskih barijera</t>
  </si>
  <si>
    <t>Izgradnja istočne tribine stadiona Tušanj - I faza</t>
  </si>
  <si>
    <t>,</t>
  </si>
  <si>
    <r>
      <t xml:space="preserve"> </t>
    </r>
    <r>
      <rPr>
        <b/>
        <sz val="10"/>
        <rFont val="Arial"/>
        <family val="2"/>
      </rPr>
      <t>SVEGA GRUPA 611200</t>
    </r>
  </si>
  <si>
    <r>
      <t xml:space="preserve"> </t>
    </r>
    <r>
      <rPr>
        <b/>
        <sz val="10"/>
        <rFont val="Arial"/>
        <family val="2"/>
      </rPr>
      <t>SVEGA GRUPA 612000</t>
    </r>
  </si>
  <si>
    <t>Otplate domaćim finansijskim institucijama</t>
  </si>
  <si>
    <t>9. IZDACI ZA OTPLATU DUGOVA (9.1.)</t>
  </si>
  <si>
    <t xml:space="preserve">Finansiranje završetka projekata:                                                                -Izgradnja nadvožnjaka na sjevernoj saobraćajnici u Tuzli                     -Izgradnja i rekonstrukcija Sjeverne saobraćajnice u Tuzli                   - Izgradnja trećeg jezera u kompleksu Panonskih jezera (građevinski dio)                                                                                              - Izgradnja trećeg jezera u kompleksu Panonskih jezera (elektro-mašinski dio)                            </t>
  </si>
  <si>
    <t xml:space="preserve">  </t>
  </si>
  <si>
    <r>
      <t xml:space="preserve"> </t>
    </r>
    <r>
      <rPr>
        <b/>
        <sz val="18"/>
        <rFont val="Arial"/>
        <family val="2"/>
      </rPr>
      <t>Ukupni tekući izdaci</t>
    </r>
  </si>
  <si>
    <r>
      <t xml:space="preserve"> </t>
    </r>
    <r>
      <rPr>
        <b/>
        <u val="single"/>
        <sz val="22"/>
        <rFont val="Arial"/>
        <family val="2"/>
      </rPr>
      <t xml:space="preserve">B. KAPITALNI IZDACI </t>
    </r>
  </si>
  <si>
    <t xml:space="preserve"> Doprinosi poslodavaca i ostali doprinosi</t>
  </si>
  <si>
    <t>Nabavka opreme - Sredst. ostvarena radom termoelektana</t>
  </si>
  <si>
    <t>08. SLUŽBA ZA GEODETSKE I IMOVINSKO-PRAVNE POSLOVE</t>
  </si>
  <si>
    <t xml:space="preserve"> SLUŽBA ZA GEODETSKE I IMOVINSKO PRAVNE POSLOVE - POSLOVNI PROSTORI</t>
  </si>
  <si>
    <t xml:space="preserve"> SLUŽBA ZA GEODETSKE I IMOVINSKO - PRAVNE POSLOVE</t>
  </si>
  <si>
    <t>0801 - SLUŽBA ZA GEODETSKE I IMOVINSKO-PRAVNE POSLOVE - POSLOVNI PROSTORI</t>
  </si>
  <si>
    <t>UKUPNO SLUŽBA ZA GEODETSKE I IMOVINSKO-PRAVNE POSLOVE</t>
  </si>
  <si>
    <t xml:space="preserve"> Služba za geodetske i imovinsko - pravne poslove Poslovni prostori</t>
  </si>
  <si>
    <t>613324-4</t>
  </si>
  <si>
    <t>Izdaci za kafilerijske poslove</t>
  </si>
  <si>
    <t>Nabavka opreme - Urbani mobilijar</t>
  </si>
  <si>
    <t>Izdaci za tekuće održavanje prostorija MZ koje gravitiraju TE Tuzla</t>
  </si>
  <si>
    <t>614239-12</t>
  </si>
  <si>
    <t>Subvencioniranje najamnine za korištenje stanova po modelu neprofitno-socijalnog stanovanja</t>
  </si>
  <si>
    <t>Transfer za rad- za Vijeće mladih</t>
  </si>
  <si>
    <t>Grant za realizaciju Akcionog plana za Rome</t>
  </si>
  <si>
    <t>614329-24</t>
  </si>
  <si>
    <t>Grantovi neprofi. Organiz. - udruženja, organizacije i fondacije</t>
  </si>
  <si>
    <t>Rekonstrukcija, proširenje i investiciono održavanje Trga Slobode</t>
  </si>
  <si>
    <t xml:space="preserve"> Grant  organizacijama iz oblasti poljoprivredne proizvodnje  </t>
  </si>
  <si>
    <t>614239-13</t>
  </si>
  <si>
    <t>Subvencioniranje kamate za stambeno zbrinjavanje mladih</t>
  </si>
  <si>
    <t>Grantovi pojedincima - Subvencioniranje kamate za stambeno zbrinjavanje mladih</t>
  </si>
  <si>
    <t>615211-7</t>
  </si>
  <si>
    <t>NEUTROŠENA KREDITNA SREDSTVA</t>
  </si>
  <si>
    <t>Ukupni kapitalni izdaci</t>
  </si>
  <si>
    <t>Nabavka opreme - za potrebe opremanja GŠCZ i specijalizovanih službi CZ</t>
  </si>
  <si>
    <t>Grant za Jevrejsku općinu Tuzla</t>
  </si>
  <si>
    <t>614311-65</t>
  </si>
  <si>
    <t>614329-25</t>
  </si>
  <si>
    <t>Grant za tekuće poslovanje d.o.o. Tržnice Pijace Tuzla</t>
  </si>
  <si>
    <t>614329-26</t>
  </si>
  <si>
    <t>Investiciono održavanje zgrada</t>
  </si>
  <si>
    <t>Kapit. grant za proširenje kapacit. JP Veterinarska stanica Tuzla</t>
  </si>
  <si>
    <t xml:space="preserve">                                                                                                                                   TEKUĆI BILANS</t>
  </si>
  <si>
    <t>Primljeni kapitalni transferi od preduzeća</t>
  </si>
  <si>
    <t xml:space="preserve">     1.1.7. Ostali porezi</t>
  </si>
  <si>
    <t>Izdaci za komunalne usluge</t>
  </si>
  <si>
    <t>Primici od prodaje zemljišta</t>
  </si>
  <si>
    <t xml:space="preserve">Grant za realizaciju Plana upravljanja otpadom za grad Tuzla </t>
  </si>
  <si>
    <t>821211-2</t>
  </si>
  <si>
    <t xml:space="preserve"> Nabavka poslovnog prostora MZ Sjenjak</t>
  </si>
  <si>
    <t>Nabavka zgrada</t>
  </si>
  <si>
    <t>Kapitalni grant- Učešće grada u međunarodnim projekatima</t>
  </si>
  <si>
    <t>615311-4</t>
  </si>
  <si>
    <t>Kapitalni grant vjerskim zajednicama</t>
  </si>
  <si>
    <t>821211-3</t>
  </si>
  <si>
    <t>Nabavka zgrada - Prostor za obdanište</t>
  </si>
  <si>
    <t>ZAŠTITA ŽIVOTNE OKOLINE</t>
  </si>
  <si>
    <t>Smanjenje zagađenosti</t>
  </si>
  <si>
    <t>Porez na ukupan prihod fizičkih lica</t>
  </si>
  <si>
    <t>Prihodi ostvareni prodajom stanova</t>
  </si>
  <si>
    <t xml:space="preserve">   1.1. PRIHODI OD POREZA (1.1.1. do 1.1.7.)</t>
  </si>
  <si>
    <t>UKUPNO KAPITALNI TRANSFERI</t>
  </si>
  <si>
    <t>Izdaci za manifestacije</t>
  </si>
  <si>
    <t>Rekonstrukcija sale Gradskog vijeća u zgradi Grafičar</t>
  </si>
  <si>
    <t>Izgradnja poslovnih zona u Tuzli</t>
  </si>
  <si>
    <t>613727-20</t>
  </si>
  <si>
    <t>Sredstva za finans. ili sufinans. nužnih popravki na zajedničkim dijelovima i uređajima zgrada</t>
  </si>
  <si>
    <t>Stambeni i zajednički poslovi</t>
  </si>
  <si>
    <t>STAMBENI I KOMUNALNI POSLOVI</t>
  </si>
  <si>
    <t>614241-3</t>
  </si>
  <si>
    <t>Učešće u projektima sanacije šteta nastalih prirodnom i drugom nesrećom</t>
  </si>
  <si>
    <t>Naknada za vatrogasne jedinice iz premije osiguranja imovine od požara i prirodnih sila</t>
  </si>
  <si>
    <t>Grant za realizaciju Akcionog plana za Rome, Grant za ostale nacionalne manjine</t>
  </si>
  <si>
    <t>GARANCIJE</t>
  </si>
  <si>
    <t>Otplata duga po izdatim garancijama</t>
  </si>
  <si>
    <t>Tekuće održavanje sportskih terena i igrališta</t>
  </si>
  <si>
    <t>Izgradnja sportskih terena i igrališta</t>
  </si>
  <si>
    <t>Grantovi za energijsku efikasnost</t>
  </si>
  <si>
    <t>Primljeni tekući transferi od inozemnih vlada</t>
  </si>
  <si>
    <t>TEKUĆI TRANSFERI OD INOSTRANIH VLADA I MEĐUN. ORGANIZACIJA</t>
  </si>
  <si>
    <t>SVEGA GRUPA 731100</t>
  </si>
  <si>
    <t>Bruto plaće</t>
  </si>
  <si>
    <t>613727-21</t>
  </si>
  <si>
    <t>Izdaci za tekuće održavanje puteva, javne rasvjete, oborinske kanalizacije, ćišćenje vodotoka, urbanog mobilijara, održavanje kompleksa Slana banja, održavanje sportskih terena i igrališta</t>
  </si>
  <si>
    <t>615211-8</t>
  </si>
  <si>
    <t>Grantovi za nabavku i ugradnju toplotnih MRS-a i za trošk. angažov. kapacit. u MZ Šićki Brod, Bukinje i Husino i Grantovi za energijsku efikasnost</t>
  </si>
  <si>
    <t>IV KAPITALNI TRANSFERI</t>
  </si>
  <si>
    <t>III KAPITALNI TRANSFERI</t>
  </si>
  <si>
    <t>Kapitalni grant za izmirenje obaveza po potpisanim Ugovorima za saniranje štete od prirodne nesreće iz 2014. godine</t>
  </si>
  <si>
    <t xml:space="preserve"> PRIMICI OD PRODAJE</t>
  </si>
  <si>
    <t>UKUPNO PRIMICI</t>
  </si>
  <si>
    <t>C. OTPLATA DUGOVA</t>
  </si>
  <si>
    <t>Ukupno otplata dugova</t>
  </si>
  <si>
    <t>I</t>
  </si>
  <si>
    <t>II</t>
  </si>
  <si>
    <t>Prihodi od indir. poreza za finans. autocesta i drugih cesta u FBiH</t>
  </si>
  <si>
    <t>614311-66</t>
  </si>
  <si>
    <t>Grant za obuku i vježbe struktura CZ</t>
  </si>
  <si>
    <t>TEKUĆI TRANSFERI OD INOZEMNIH VLADA</t>
  </si>
  <si>
    <t>NABAVKA ZEMLJIŠTA</t>
  </si>
  <si>
    <t xml:space="preserve"> GARANCIJA</t>
  </si>
  <si>
    <t xml:space="preserve"> Garancija</t>
  </si>
  <si>
    <t>614329-27</t>
  </si>
  <si>
    <t>Grant za JP "Panonica" Tuzla</t>
  </si>
  <si>
    <t>614329-28</t>
  </si>
  <si>
    <t xml:space="preserve">Transfer za rad - UG Viva žene </t>
  </si>
  <si>
    <t>614311-67</t>
  </si>
  <si>
    <t>Učešće grada u projektima ekonomske održivosti stanara NSS i drugih međunarodnih organizacija</t>
  </si>
  <si>
    <t>Grant za JP Veterinarska stanica Tuzla - Program kontrole populacije pasa u gradu Tuzla</t>
  </si>
  <si>
    <t>821614-6</t>
  </si>
  <si>
    <t>Izgradnja društvenog doma Šićki Brod i rekonstrukcija prostorija MZ Bukinje i Husino</t>
  </si>
  <si>
    <t>Rekonstrukcija  društvenog doma DTV Partizan Kreka</t>
  </si>
  <si>
    <t>821614-7</t>
  </si>
  <si>
    <t>Kapitalni grant - JZNU Dom zdravlja "Dr. Mustafa Šehović" Tuzla- za izgradnju rampe za prilaz Pedijatrijskom odjeljenju</t>
  </si>
  <si>
    <t xml:space="preserve">Kapitalni grant za saniranje dijela šteta na materijalnim dobrima oštećenim prirodnom nesrećom </t>
  </si>
  <si>
    <t>Primljeni tekući transferi od Države</t>
  </si>
  <si>
    <t>Putni troškovi</t>
  </si>
  <si>
    <t>821614-8</t>
  </si>
  <si>
    <t>Rekonstrukcija Arheološkog parka i geološke postavke</t>
  </si>
  <si>
    <t>IV KAPITALNI TRANSFERI OD OSTALIH NIVOA VLASTI</t>
  </si>
  <si>
    <t xml:space="preserve"> V KAPITALNI TRANSFERI OD NEVLADINIH IZVORA</t>
  </si>
  <si>
    <t>VI PRIMICI</t>
  </si>
  <si>
    <t>613727-22</t>
  </si>
  <si>
    <t>Rušenje i uklanjanje objekata po inspekcijskom rješenju</t>
  </si>
  <si>
    <t>Javni red i sigurnost n.k.</t>
  </si>
  <si>
    <t>613727-23</t>
  </si>
  <si>
    <t>Sredstva u provođenju preventivnih mjera zaštite i spašavanja - održavanja i radovi</t>
  </si>
  <si>
    <t>Kapitalni grant - DVD-a na području grada Tuzla</t>
  </si>
  <si>
    <t>Primici od naknade za ekspropisanu nekretninu</t>
  </si>
  <si>
    <t>Ostala stalna sredstva u obliku prava</t>
  </si>
  <si>
    <t>OSTALA STALNA SREDSTVA U OBLIKU PRAVA</t>
  </si>
  <si>
    <t>615311-5</t>
  </si>
  <si>
    <t>615411-7</t>
  </si>
  <si>
    <t>Kapitalni grant-JP SKPC Mejdan Tuzla</t>
  </si>
  <si>
    <t>Izgradnja objekta u MZ Kiseljak</t>
  </si>
  <si>
    <t>821213-15</t>
  </si>
  <si>
    <t>17. SLUŽBA ZA KULTURU, SPORT, MLADE I SOCIJALNU ZAŠTITU</t>
  </si>
  <si>
    <t>1701 - SLUŽBA ZA KULTURU, SPORT, MLADE I SOCIJALNU ZAŠTITU</t>
  </si>
  <si>
    <t>17</t>
  </si>
  <si>
    <t>04. SLUŽBA ZA RAZVOJ, PODUZETNIŠTVO I POLJOPRIVREDU</t>
  </si>
  <si>
    <t>0401 - SLUŽBA ZA RAZVOJ, PODUZETNIŠTVO I POLJOPRIVREDU - POSLOVNI PROSTORI</t>
  </si>
  <si>
    <t xml:space="preserve"> SLUŽBA ZA RAZVOJ, PODUZETNIŠTVO I POLJOPRIVREDU - POSLOVNI PROSTORI</t>
  </si>
  <si>
    <t>Općinske komunalne naknade u skladu sa kantonalnim propisima za posebne namjene</t>
  </si>
  <si>
    <t>Rekonstrukcija i invest. održav. vatrogasnog doma Kreka</t>
  </si>
  <si>
    <t xml:space="preserve">Grantovi za nabavku i ugradnju toplotnih MRS-a  u MZ Šićki Brod, Bukinje i Husino </t>
  </si>
  <si>
    <t>Služba za ekonomski razvoj, poduzetništvo i poljoprivredu - Poslovni prostori</t>
  </si>
  <si>
    <t>1700</t>
  </si>
  <si>
    <t>1701</t>
  </si>
  <si>
    <t>Služba za kulturu, sport, mlade i socijalnu zaštitu</t>
  </si>
  <si>
    <t>Kultura, sport, mladi i socijalna zaštita</t>
  </si>
  <si>
    <t xml:space="preserve">G.2./ SUFICIT/DEFICIT iz prethodne godine </t>
  </si>
  <si>
    <t>G.3./NEUTROŠENA KREDITNA SREDSTVA</t>
  </si>
  <si>
    <t>821614-9</t>
  </si>
  <si>
    <t>821614-1</t>
  </si>
  <si>
    <t>04. SLUŽBA ZA EKONOMSKI RAZVOJ, PODUZETNIŠTVO I POLJOPRIVREDU</t>
  </si>
  <si>
    <t>II POSEBNI DIO</t>
  </si>
  <si>
    <t>za period od 01.01. do 31.12.2020. godine</t>
  </si>
  <si>
    <t>Prihodi po grupama i vrstama prihoda utvrđeni su u Budžetu za period od.01.01. - 31.12.2020.godine kako slijedi:</t>
  </si>
  <si>
    <t>Sredstva  po ekonomskom kodu, funkciji i organizaciji utvrđuju se u Budžetu za period od 01.01.do 31.12.2020.g., kako slijedi:</t>
  </si>
  <si>
    <t xml:space="preserve"> Ovaj Budžet stupa na snagu danom objavljivanja u "Službenom glasniku Grada Tuzla", a primjenjivat će se za fiskalnu 2020. godinu.</t>
  </si>
  <si>
    <t xml:space="preserve">Tuzla,                        godine                  </t>
  </si>
  <si>
    <t>I.1. Pregled Budžeta grada Tuzla za period 01.01. - 31.12.2020. godine u dijelu Opšeg fonda ( i sredstava Javnih ustanova)</t>
  </si>
  <si>
    <t xml:space="preserve">PRIHODI  - STAMBENI FOND ZA SOCIJALNO STANOVANJE </t>
  </si>
  <si>
    <t xml:space="preserve">RASHODI  - STAMBENI FOND ZA SOCIJALNO STANOVANJE </t>
  </si>
  <si>
    <t xml:space="preserve">PRIMICI OD PRODAJE </t>
  </si>
  <si>
    <t>PRIHODI OPŠTEG FONDA</t>
  </si>
  <si>
    <t>RASHODI OPŠTEG FONDA</t>
  </si>
  <si>
    <t>PRIHODI FONDA ZA KOMUNALNU INFRASTRUKTURU</t>
  </si>
  <si>
    <t>RASHODI FONDA ZA KOMUNALNU INFRASTRUKTURU</t>
  </si>
  <si>
    <t>PRIHODI FONDA ZA ZAŠTITU I SPAŠAVANJE LJUDI I MATERIJALNIH  DOBARA</t>
  </si>
  <si>
    <t>RASHODI FONDA ZA ZAŠTITU I SPAŠAVANJE LJUDI I MATERIJALNIH  DOBARA</t>
  </si>
  <si>
    <t>PRIHODI FONDA SREDSTAVA OD NAKNADE ZA PRIHODE  OSTVARENE RADOM TERMOELEKTRANA</t>
  </si>
  <si>
    <t>RASHODI FONDA SREDSTAVA OD NAKNADE ZA PRIHODE  OSTVARNE I RADOM TERMOELEKTRANA</t>
  </si>
  <si>
    <t>G. SREDSTVA FONDA ZA KOMUNALNU INFRASTRUKTURU</t>
  </si>
  <si>
    <t>G.1/ UKUPNO PRIHODI I PRIMICI FONDA ZA KOMUNALNU INFRASTRUKTURU - Sredstva za uređenje gradskog građevin. zemljišta  (F + VI )</t>
  </si>
  <si>
    <t>G/ UKUPNO PRIHODI FONDA ZA KOMUNALNU INFRASTRUKTURU ( I do V )</t>
  </si>
  <si>
    <t>A./ UKUPNI PRIHODI OPŠTEG FONDA ( I do V )</t>
  </si>
  <si>
    <t xml:space="preserve"> POSEBNE NAKNADE I TAKSE</t>
  </si>
  <si>
    <t>Porezi na dobit od poljoprivrednih djelatnosti</t>
  </si>
  <si>
    <t>Prihodi od zakupa korištenja sportsko-privrednih lovišta</t>
  </si>
  <si>
    <t>SUDSKE TAKSE</t>
  </si>
  <si>
    <t>Općinske sudske takse</t>
  </si>
  <si>
    <t>SVEGA GRUPE 722200</t>
  </si>
  <si>
    <t>Posebna naknada za Službu pomoć na cesti</t>
  </si>
  <si>
    <t>Novčane kazne po općinskim propisima</t>
  </si>
  <si>
    <t>Ostale kazne</t>
  </si>
  <si>
    <t>A.OPŠTI FOND</t>
  </si>
  <si>
    <t xml:space="preserve">04. SLUŽBA ZA EKONOMSKI RAZVOJ, PODUZETNIŠTVO I POLJOPRIVREDU  </t>
  </si>
  <si>
    <t xml:space="preserve">0401 - SLUŽBA ZA EKONOMSKI RAZVOJ, PODUZETNIŠTVO I POLJOPRIVREDU  </t>
  </si>
  <si>
    <t xml:space="preserve"> SLUŽBA ZA EKONOMSKI RAZVOJ, PODUZETNIŠTVO I POLJOPRIVREDU</t>
  </si>
  <si>
    <t xml:space="preserve"> UKUPNO  SLUŽBA ZA EKONOMSKI RAZVOJ, PODUZETNIŠTVO I POLJOPRIVREDU</t>
  </si>
  <si>
    <t>Primljeni tekući transferi od općina</t>
  </si>
  <si>
    <t>Grant neprofitnoj organizaciji - KK "Jedinstvo"- Dženex  Tuzla</t>
  </si>
  <si>
    <t>Služba za ekonomski razvoj, poduzetništvo i poljoprivredu</t>
  </si>
  <si>
    <t xml:space="preserve"> Služba za ekonomski razvoj, poduzetništvo i poljoprivredu</t>
  </si>
  <si>
    <t>Planirani broj zaposlenih u 2020. godini</t>
  </si>
  <si>
    <t xml:space="preserve">Tekući transfer KUCZ Tuzla - za deminiranje, </t>
  </si>
  <si>
    <t>D/ UKUPNA SREDSTVA JU ZA PREDŠKOLSKI ODGOJ I OBRAZOVANJE OBDANIŠTE "NAŠE DIJETE" TUZLA</t>
  </si>
  <si>
    <t>UKUPNO SREDSTVA FONDA ZA KOMUNALNU INFRASTRUKTURU ( G.1. + G.2.+ G3 )</t>
  </si>
  <si>
    <t>Planirani broj zaposlenih u 2020.god. - Grad Tuzla</t>
  </si>
  <si>
    <t>Planirani broj zaposlenih u 2020.god.-Javne ustanove</t>
  </si>
  <si>
    <t>Grantovi neprof. organ. - udruženja, organizacije i fondacije</t>
  </si>
  <si>
    <t>614239-15</t>
  </si>
  <si>
    <t>Grantovi pojedincima - za liječenje teško oboljelih u inostranstvu</t>
  </si>
  <si>
    <t>Grant. pojedincima-za liječenje teško oboljelih u inostranstvu</t>
  </si>
  <si>
    <t>614239-16</t>
  </si>
  <si>
    <t>Subvencije pojedincima po osnovu komunalne naknade</t>
  </si>
  <si>
    <t>PRIMICI OD DIREKTNOG ZADUŽENJA</t>
  </si>
  <si>
    <t>Primici od kredita</t>
  </si>
  <si>
    <t>SVEGA GRUPA 814300</t>
  </si>
  <si>
    <t>PRIMICI OD KREDITA</t>
  </si>
  <si>
    <t xml:space="preserve"> VI RASHODI</t>
  </si>
  <si>
    <t>VII RASHODI FINANSIRANI IZ KREDITA</t>
  </si>
  <si>
    <t>VIII OTPLATA KREDITA</t>
  </si>
  <si>
    <t xml:space="preserve"> IX GARANCIJE </t>
  </si>
  <si>
    <t>821213-13</t>
  </si>
  <si>
    <t>821213-6</t>
  </si>
  <si>
    <t>II PRIMICI OD PRODAJE</t>
  </si>
  <si>
    <t>III NEUTROŠENA KREDITNA SREDSTVA</t>
  </si>
  <si>
    <t>IV PRIMICI OD KREDITA</t>
  </si>
  <si>
    <t>Plan za 2020. godinu na ekonomskom kodu 823000</t>
  </si>
  <si>
    <t xml:space="preserve"> 0503 - IZDACI FONDA ZA KOMUNALNU INFRASTRUKTURU</t>
  </si>
  <si>
    <t>IZDACI FONDA ZA KOMUNALNU INFRASTRUKTURU</t>
  </si>
  <si>
    <t xml:space="preserve"> 0702 - IZDACI FONDA ZA KOMUNALNU INFRASTRUKTURU</t>
  </si>
  <si>
    <t xml:space="preserve"> IZDACI FONDA ZA KOMUNALNU INFRASTRUKTURU</t>
  </si>
  <si>
    <t xml:space="preserve"> 1103 - IZDACI FONDA ZA KOMUNALNU INFRASTRUKTURU</t>
  </si>
  <si>
    <t>1202 - IZDACI FONDA ZA KOMUNALNU INFRASTRUKTURU</t>
  </si>
  <si>
    <t>Izgradnja parkova</t>
  </si>
  <si>
    <t>821213-16</t>
  </si>
  <si>
    <t>H. SREDSTVA FONDA ZA ZAŠTITU I SPAŠAVANJE LJUDI I MATERIJALNIH DOBARA</t>
  </si>
  <si>
    <t>H/ UKUPNO SREDSTVA FONDA ZA ZAŠTITU I SPAŠAVANJE LJUDI I MATERIJALNIH DOBARA</t>
  </si>
  <si>
    <t>I. SREDSTVA FONDA ZA SKLONIŠTA</t>
  </si>
  <si>
    <t>I/ UKUPNO SREDSTVA  FONDA  ZA SKLONIŠTA</t>
  </si>
  <si>
    <t>0406- IZDACI FONDA SREDSTAVA OD NAKNADE ZA PRIHODE  OSTVARENE RADOM TERMOELEKTRANA</t>
  </si>
  <si>
    <t xml:space="preserve"> IZDACI FONDA SREDSTAVA OD NAKNADE ZA PRIHODE OSTVARENE RADOM TERMOELEKTRANA</t>
  </si>
  <si>
    <t>0505 -IZDACI FONDA SREDSTAVA OD NAKNADE ZA PRIHODE  OSTVARENE RADOM TERMOELEKTRANA</t>
  </si>
  <si>
    <t>IZDACI FONDA SREDSTAVA OD NAKNADE ZA PRIHODE  OSTVARENE RADOM TERMOELEKTRANA</t>
  </si>
  <si>
    <t>Izdaci Fonda sredstava od naknade za prihode  ostvarene  radom  termoelektrana</t>
  </si>
  <si>
    <t>Izdaci Fonda za komunalnu infrastrukturu</t>
  </si>
  <si>
    <t xml:space="preserve"> Izdaci Fonda za komunalnu infrastrukturu </t>
  </si>
  <si>
    <t xml:space="preserve">  1203 - IZDACI FONDA ZA ZAŠTITU I SPAŠAVANJE LJUDI I MATERIJALNIH DOBARA</t>
  </si>
  <si>
    <t>821614-10</t>
  </si>
  <si>
    <t>Rekonstrukcija Doma kulture u MZ Dragunja</t>
  </si>
  <si>
    <t xml:space="preserve">                              PLAN                BUDŽETSKIH SREDSTAVA ZA 2020.GODINU</t>
  </si>
  <si>
    <t xml:space="preserve">                                             UKUPNO                PLANIRANI PRIHODI ZA                          2020.GODINU</t>
  </si>
  <si>
    <t xml:space="preserve">                                                                          PLAN                    PRIHODA I               RASHODA IZ BUDŽETA ZA   2020.GODINU</t>
  </si>
  <si>
    <t xml:space="preserve">                         UKUPNO PLANIRANA SREDSTAVA I                 RASHODI  BUDŽETA ZA          2020.GODINU</t>
  </si>
  <si>
    <t xml:space="preserve">                              PLAN            PRIHODA I               RASHODA IZ BUDŽETA ZA   2020.GODINU</t>
  </si>
  <si>
    <t xml:space="preserve">  UKUPNO PLANIRANA   SREDSTAVA I                 RASHODI                     BUDŽETA ZA          2020.GODINU</t>
  </si>
  <si>
    <t xml:space="preserve">                         PLAN               RASHODA IZ BUDŽETA ZA 2020.GODINU</t>
  </si>
  <si>
    <t xml:space="preserve">                  UKUPNI                 RASHODI BUDŽETA ZA          2020.GODINU</t>
  </si>
  <si>
    <t xml:space="preserve">                      PLAN               RASHODA IZ BUDŽETA ZA 2020.GODINU</t>
  </si>
  <si>
    <t xml:space="preserve"> UKUPNI                 RASHODI BUDŽETA ZA          2020.GODINU</t>
  </si>
  <si>
    <t>0101 - GRADSKO VIJEĆE</t>
  </si>
  <si>
    <t>Socijalna davanja za liječenje u inostranstvu</t>
  </si>
  <si>
    <t>PRIHODI  FONDA ZA SKLONIŠTA</t>
  </si>
  <si>
    <t>RASHODI FONDA ZA SKLONIŠTA</t>
  </si>
  <si>
    <t xml:space="preserve"> IZDACI FONDA ZA SKLONIŠTA </t>
  </si>
  <si>
    <t>IZDACI  FONDA ZA ZAŠTITU I SPAŠAVANJE LJUDI I MATERIJALNIH DOBARA</t>
  </si>
  <si>
    <t>Prosječan broj zaposlenih sa 30.11.2019. godine - Grad Tuzla</t>
  </si>
  <si>
    <t xml:space="preserve">Prosječan broj zaposlenih sa 30.11.2019. godine - Javne ustanove </t>
  </si>
  <si>
    <t>Prosječan broj zaposlenih sa 30.11.2019. godine</t>
  </si>
  <si>
    <t>J. SREDSTVA FONDA ZA ZAŠTITU OD POŽARA I VATROGASTVA</t>
  </si>
  <si>
    <t>J/ UKUPNO SREDSTVA  FONDA  ZA ZAŠTITU OD POŽARA I VATROGASTVA</t>
  </si>
  <si>
    <t>K. FOND SREDSTAVA OD NAKNADE ZA PRIHODE  OSTVARENE RADOM TERMOELEKTRANA</t>
  </si>
  <si>
    <t>K./ PRIHODI FONDA SREDSTAVA OD NAKNADE OSTVARENE RADOM TERMOELEKTRANA</t>
  </si>
  <si>
    <t>K.3./ UKUPNO FOND SREDSTVA OD NAKNADE  OSTVARENE RADOM TERMOELEKTRANA ( J.+J1.+J.2. )</t>
  </si>
  <si>
    <t>L. SLUŽBA ZA BORAČKO -  INVALIDSKU ZAŠTITU, STAMBENE POSLOVE I INTEGRACIJU RASELJENIH LICA - STAMBENI  FOND ZA SOCIJALNO STANOVANJE</t>
  </si>
  <si>
    <t>L/ UKUPNO PRIHODI  - STAMBENI FOND ZA SOCIJALNO STANOVANJE</t>
  </si>
  <si>
    <t>L.1./SUFICIT/DEFICIT iz prethodne godine</t>
  </si>
  <si>
    <t>L.2./ UKUPNO SREDSTVA  STAMBENOG FONDA ZA SOCIJALNO STANOVANJE</t>
  </si>
  <si>
    <t>UKUPNI PRIHODI, NAKNADE, TRANSFERI, DONACIJE                       ( A + B + C + D +  E + F + G + H + I +J + K+L )</t>
  </si>
  <si>
    <t xml:space="preserve">12. SLUŽBA CIVILNE ZAŠTITE </t>
  </si>
  <si>
    <t>1204 - IZDACI FONDA ZA  SKLONIŠTA</t>
  </si>
  <si>
    <t>1205 - IZDACI FONDA ZA  ZAŠTITU OD POŽARA I VATROGASTVA</t>
  </si>
  <si>
    <t xml:space="preserve"> IZDACI FONDA ZA ZAŠTITU OD POŽARA I VATROGASTVA</t>
  </si>
  <si>
    <t>PRIHODI  FONDA ZA ZAŠTITU OD POŽARA I VATROGASTVA</t>
  </si>
  <si>
    <t>RASHODI  FONDA ZA ZAŠTITU OD POŽARA I VATROGASTVA</t>
  </si>
  <si>
    <t>1205</t>
  </si>
  <si>
    <t xml:space="preserve"> Izdaci Fonda  za zaštitu i spašavanje</t>
  </si>
  <si>
    <t>Izdaci Fonda za skloništa</t>
  </si>
  <si>
    <t>Izdaci Fonda za zaštitu od požara i vatrogastva</t>
  </si>
  <si>
    <t>Grant neprofitnim organizacijama-DVD-a na području grada Tuzla</t>
  </si>
  <si>
    <t xml:space="preserve"> A.TEKUĆI IZDACI</t>
  </si>
  <si>
    <t>UKUPNI IZDACI FONDA ZA ZAŠTITU OD POŽARA I VATROGASTVA</t>
  </si>
  <si>
    <t>UKUPNI IZDACI FONDA ZA SKLONIŠTA</t>
  </si>
  <si>
    <t>UKUPNI IZDACI FONDA ZA ZAŠTITU I SPAŠAVANJE</t>
  </si>
  <si>
    <t xml:space="preserve">UKUPNI IZDACI FONDA ZA KOMUNALNU INFRASTRUKTURU </t>
  </si>
  <si>
    <t xml:space="preserve">UKUPNI IZDACI OPŠTEG FONDA </t>
  </si>
  <si>
    <t xml:space="preserve">UKUPNI IZDACI JAVNIH USTANOVA </t>
  </si>
  <si>
    <t>UKUPNI IZDACI FONDA OD NAKNADE ZA PRIHODE OSTVARENE RADOM TERMOELEKTRANA</t>
  </si>
  <si>
    <t>Izdaci za tekuće održavanje-zaštita od požara i vatrogastva</t>
  </si>
  <si>
    <t>Nabavka opreme - Zaštita od požara i vatrogastva</t>
  </si>
  <si>
    <t>UKUPNI IZDACI  STAMBENOG FONDA ZA SOCIJALNO STANOVANJE</t>
  </si>
  <si>
    <t>Član 6.</t>
  </si>
  <si>
    <t>0802 - IZDACI FONDA ZA KOMUNALNU INFRASTRUKTURU</t>
  </si>
  <si>
    <t xml:space="preserve"> A.  KAPITALNI  IZDACI</t>
  </si>
  <si>
    <t>0802</t>
  </si>
  <si>
    <t xml:space="preserve">Primljeni tekući transferi od Federacije </t>
  </si>
  <si>
    <t>PREDSJEDAVAJUĆA VIJEĆA</t>
  </si>
  <si>
    <t xml:space="preserve">                           PLAN                 PRIHODA I   RASHODA PO OSNOVU  VLASTITIH PRIHODA,             TEKUĆIH TRANSFERA I DONACIJA ZA  2020.GODINU</t>
  </si>
  <si>
    <t xml:space="preserve">                                               PLAN              PRIHODA I RASPORED  RASHODA PO OSNOVU  VLASTITIH PRIHODA, TEKUĆIH TRANSFERA I DONACIJA ZA   2020.GODINU</t>
  </si>
  <si>
    <r>
      <t xml:space="preserve"> PREGLED PRIHODA PO GRUPAMA -  </t>
    </r>
    <r>
      <rPr>
        <sz val="24"/>
        <rFont val="Arial"/>
        <family val="2"/>
      </rPr>
      <t>Opšti fond, Fond za komunalnu infrastrukturu , Fond za zaštitu i spašavanje ljudi i materijalnih dobara, Fond za skloništa, Fond za zaštitu od požara i vatrogastva, Fond sredstava od naknade za prihode ostvarene radom termoelektrana i Stambeni fond za  socijalno stanovanje</t>
    </r>
  </si>
  <si>
    <t xml:space="preserve">                             PLAN                     PRIHODA PO OSNOVU  VLASTITIH PRIHODA, TEKUĆIH TRANSFERA I DONACIJA ZA    2020.GODINU </t>
  </si>
  <si>
    <t xml:space="preserve">                         PLAN RASPOREDA  RASHODA PO OSNOVU  VLASTITIH PRIHODA, TEKUĆIH TRANSFERA I DONACIJA ZA   2020.GODINU</t>
  </si>
  <si>
    <t>PLAN RASPOREDA  RASHODA PO OSNOVU  VLASTITIH PRIHODA, TEKUĆIH TRANSFERA I DONACIJA ZA   2020.GODINU</t>
  </si>
  <si>
    <t xml:space="preserve"> Garancija - JKP "Komunalac" Tuzla</t>
  </si>
  <si>
    <t>Garancija JKP "Vodovod i kanalizacija" Tuzla</t>
  </si>
  <si>
    <t>GARANCIJA - JKP "Komunalac" Tuzla</t>
  </si>
  <si>
    <t>Dio tekućih prihoda i primitaka u iznosu od 3.440.000,00 KM koristit će se za finansiranje izdataka za otplate dugova, kako slijedi:</t>
  </si>
  <si>
    <t>823511-1</t>
  </si>
  <si>
    <t>823511-2</t>
  </si>
  <si>
    <t>PRIHODI OD NEFINANSIJSKIH JAVNIH PREDUZEĆA I FINANSIJSKIH JAVNIH INSTITUCIJA</t>
  </si>
  <si>
    <t>Prihodi od dividendi i udjela u profitu u javnim preduzećima i finanansijskim institucijama</t>
  </si>
  <si>
    <t>GARANCIJA - JKP "Vodovod i kanalizacija" Tuzla</t>
  </si>
  <si>
    <t>12. SREDSTVA IZ TAČKE 11. POKRIT ĆE SE SUFICITOM IZ 2019. GODINE</t>
  </si>
  <si>
    <t>Izgradnja Bosanske kuće</t>
  </si>
  <si>
    <t>Kapitalni grant-Memorijalni centar Srebrenica - Potočari Spomen obilježje i mezarje za žrtve genocida iz 1995. godine</t>
  </si>
  <si>
    <t>821213-17</t>
  </si>
  <si>
    <t>615311-13</t>
  </si>
  <si>
    <t xml:space="preserve"> Vjerskim zajednicama, DVD-a na području grada Tuzla, Memorijalni centar Srebrenica-Potočari</t>
  </si>
  <si>
    <t>615411-11</t>
  </si>
  <si>
    <t>Kapitalni grant JU Dom penzionera Tuzla-energijska efikasnost</t>
  </si>
  <si>
    <t>II KAPITALNI TRANSFERI</t>
  </si>
  <si>
    <t>Projekti energijske efikasnosti na objektima kojima upravlja JU Centar za kulturu Tuzla</t>
  </si>
  <si>
    <t>614311-68</t>
  </si>
  <si>
    <t>821614-11</t>
  </si>
  <si>
    <t>Izgradnja,rekonstrukcija i sanacija parkova</t>
  </si>
  <si>
    <t xml:space="preserve"> Rekonstrukcija i invest. održavanje  zgrada, MZ-a, rekonstrukcija stadiona "Tušanj", Rekonst. i invest. održavanje Trga Slobode, Rek. i invest. održavanje gradskih poslovnih prostora, DTV Partizan Kreka, Vatrogasnog doma Kreka, Projekti energ. efikasnosti na objektima kojima upravlj JU Centar za kulturu Tuzla</t>
  </si>
  <si>
    <t>Tekući grant - Učešće Grada u projeku energijske efikasnosti ENO "CARITASU"</t>
  </si>
  <si>
    <t>Nataša Perić, prof.</t>
  </si>
  <si>
    <t>UKUPNO SREDSTVA OPŠTEG FONDA ( A. + A.1. )</t>
  </si>
  <si>
    <t>R. 
Br</t>
  </si>
  <si>
    <t>Naziv projekta</t>
  </si>
  <si>
    <t>Ukupna planirana sredstva 2020</t>
  </si>
  <si>
    <t>Napomena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</si>
  <si>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</si>
  <si>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</si>
  <si>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</si>
  <si>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</si>
  <si>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</si>
  <si>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</si>
  <si>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</si>
  <si>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</si>
  <si>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</si>
  <si>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Ukupno STRUČNA SLUŽBA ZA POSLOVE GRADONAČELNIKA</t>
  </si>
  <si>
    <t xml:space="preserve">Ukupno SLUŽBA ZA EKONOMSKI RAZVOJ, PODUZETNIŠTVO I POLJOPRIVREDU  </t>
  </si>
  <si>
    <t>Sistem vodosnabdijevanje naselja Gornja Lipnica, I faza</t>
  </si>
  <si>
    <t>Vodosnabdijevanje i kanalizacija naselja Pekmezije, MZ Solina</t>
  </si>
  <si>
    <t>Vodosnabdijevanje naselja Mala Solina, MZ Solina</t>
  </si>
  <si>
    <t>Kanalizacija u Fočanskoj ulici</t>
  </si>
  <si>
    <t>Sanacija vodovodne i kanalizacione mreže na području grada</t>
  </si>
  <si>
    <t>Vodovodni sistem Hukići, Galešići, Momanovo</t>
  </si>
  <si>
    <t>UKUPNO projekti:</t>
  </si>
  <si>
    <t xml:space="preserve">Cestovna infrastruktura </t>
  </si>
  <si>
    <t>Izgradnja i rekonstrukcija ceste Tušanj - Mandići (kroz krug Rudnika soli), MZ Tušanj</t>
  </si>
  <si>
    <t>Kreditna sredstva u iznosu od 500.000 KM</t>
  </si>
  <si>
    <t xml:space="preserve">Sanacija dijela ulice Mirze Delibašića od raskrsnice sa ulicom Petra Kočića do raskrsnice sa Južnom gradskom saobraćajnicom </t>
  </si>
  <si>
    <t>Kreditna sredstva</t>
  </si>
  <si>
    <t xml:space="preserve">Semaforizacija i sanacija raskrsnice „Solana“ </t>
  </si>
  <si>
    <t xml:space="preserve">Semaforizacija i sanacija raskrsnice „Paša bunar“ </t>
  </si>
  <si>
    <t xml:space="preserve">Sanacija Fočanske ulice </t>
  </si>
  <si>
    <t xml:space="preserve">Sanacija transverzalne saobraćajnice od raskrsnice „Irac“ do raskrsnice sa Južnom gradskom saobraćajnicom kod BKC-a </t>
  </si>
  <si>
    <t xml:space="preserve">Sanacija Titove ulice od raskrsnice kod objekta „Crveni 7“ do raskrsnice kod zgrade Općinskog suda </t>
  </si>
  <si>
    <t xml:space="preserve">Sanacija ulice Džemala Bijedića (Bulevar) </t>
  </si>
  <si>
    <t xml:space="preserve">Sanacija dijela ulice Kojšino počev od raskrsnice „Skver“ do raskrsnice sa ulicom Hamdije Pozderca </t>
  </si>
  <si>
    <t xml:space="preserve">Sanacija ulice Krečanska </t>
  </si>
  <si>
    <t xml:space="preserve">Sanacija dijela ulice Albina i Franje Herljevića sa sjeverne strane Doma zdravlja </t>
  </si>
  <si>
    <t xml:space="preserve">Sanacija dijela ulice Pašage Mandžića </t>
  </si>
  <si>
    <t xml:space="preserve">Sanacija ulice Meše Selimovića od raskrsnice sa Sjevernom gradskom saobraćajnicom kod studentskog restorana do raskrsnice sa ulicom VI Bosanske brigade, </t>
  </si>
  <si>
    <t>Sanacija dijela ulice Šabana Zahirovića sa istočne strane objekta „Pecara 2“, počev od raskrsnice sa ulicom Bećarevac</t>
  </si>
  <si>
    <t>Sanacija dijela puta Bećarevac – Grabovica počev od raskrsnice sa ulicom Šabana Zahirovića</t>
  </si>
  <si>
    <t xml:space="preserve">Sanacija dijela puta Husino – Kiseljak </t>
  </si>
  <si>
    <t>Sanacija trotoara, pješačkih staza i arhitektonskih barijera</t>
  </si>
  <si>
    <t>Sanacija puteva uz sufinansiranje građana</t>
  </si>
  <si>
    <t xml:space="preserve">Sanacija cestovne opreme na javnim gradskim saobraćajnicama </t>
  </si>
  <si>
    <t>Sanacija puteva u MZ Šićki Brod, Bukinje i Husino</t>
  </si>
  <si>
    <t>Sanacija puteva u drugim MZ</t>
  </si>
  <si>
    <t>Rekonstrukcija raskrsnice na Južnoj gradskoj saobraćajnici kod Livnice</t>
  </si>
  <si>
    <t>Sanacija kolskih i saobraćajnih površina u Ul.1.inžinjerijske brigade</t>
  </si>
  <si>
    <t>Sanacija dijela ceste Gornja Obodnica-Cerik</t>
  </si>
  <si>
    <t>Mostovi</t>
  </si>
  <si>
    <t>Pješački most preko rijeke Jale Stupine Sjenjak</t>
  </si>
  <si>
    <t>Pješački most preko rijeke Jale, MZ Simin Han</t>
  </si>
  <si>
    <t>Sanacija pješačkih i kolskih mostova u gradu Tuzla</t>
  </si>
  <si>
    <t>Toplifikacija</t>
  </si>
  <si>
    <t>Toplifikacija naselja Batva</t>
  </si>
  <si>
    <t>Projekat toplifikacije individualnih stambenih  u naselju Skojevska (ulice Slavka Mićića i Strajka Mitrovića), MZ Brčanska malta</t>
  </si>
  <si>
    <t xml:space="preserve">Toplifikacija objekata u ulici Put Vinište, MZ Jala </t>
  </si>
  <si>
    <t>Projekti priključaka individualnih i kolektivnih stambenih objekata</t>
  </si>
  <si>
    <t>Nastavak toplifikacije dijela MZ Kula</t>
  </si>
  <si>
    <t>Toplifikacija dijela naselja Dragodol, MZ Tušanj</t>
  </si>
  <si>
    <t>Toplifikacija dijela MZ Solana</t>
  </si>
  <si>
    <t xml:space="preserve">Vrelovodni priključak u naselju Solina </t>
  </si>
  <si>
    <t>Nabavka podstanica za kolektivne stambene objekte izgrađene prije 2011</t>
  </si>
  <si>
    <t>Vrelovodni priključak u ulici Tabašnice</t>
  </si>
  <si>
    <t>Projekti energijske efikasnosti</t>
  </si>
  <si>
    <t>Grantovi za nabavku MRS-a u MZ Šićki Brod, Bukinje i Husino</t>
  </si>
  <si>
    <t>Grantovi za energijsku efikasnost (mjere smanjenja aerozagađenja)</t>
  </si>
  <si>
    <t>Projekat energijske efikasnosti objekta Doma penzionera, I faza</t>
  </si>
  <si>
    <t>Projekti energijske efikasnosti na objektima kojima upravlja Centar za kulturu</t>
  </si>
  <si>
    <t xml:space="preserve">Javna rasvjeta </t>
  </si>
  <si>
    <t>Izgradnja javne rasvjete u naseljima uz sufinansiraje građana</t>
  </si>
  <si>
    <t xml:space="preserve">Izgradnja javne rasvjete </t>
  </si>
  <si>
    <t>Ostali projekti</t>
  </si>
  <si>
    <t>Izgradnja gradskog groblja Drežnik, I faza</t>
  </si>
  <si>
    <t xml:space="preserve">Rekonstrukcija višenamjenskog igrališta </t>
  </si>
  <si>
    <t>Izgradnja, rekonstrukcija i sanacija parkova</t>
  </si>
  <si>
    <t>Izgradnja i rekonstrukcija stadiona Tušanj</t>
  </si>
  <si>
    <t>Izgradnja društvenog doma Šićki Brod i rekonstrukcija  dijelova objekata Bukinje i Husino</t>
  </si>
  <si>
    <t>Nabavka opreme-urbani mobilijar</t>
  </si>
  <si>
    <t>Regulacija Jale II faza</t>
  </si>
  <si>
    <t>Radovi na zaštiti od zaobalnih voda regul.rijeke Soline u zoni žutog mosta, MZ Solina</t>
  </si>
  <si>
    <t>Proširenje plaže na prvom panonskom jezeru</t>
  </si>
  <si>
    <t>Zanavljanje javnih dobara</t>
  </si>
  <si>
    <t>Nastavak regulacije rijeke Soline</t>
  </si>
  <si>
    <t>Objekat DTV Partizan, MZ Kreka</t>
  </si>
  <si>
    <t>Rekonstrukcija doma kulture u MZ Dragunja</t>
  </si>
  <si>
    <t>Nabavka poslovnog prostora MZ Sjenjak</t>
  </si>
  <si>
    <t>Izdaci za otplatu dugova</t>
  </si>
  <si>
    <t>Otplate duga po izdatim garancijama -JKP ''Regionalni centar za upravljanje otpadom'' Tuzla</t>
  </si>
  <si>
    <t>UKUPNO dugovi:</t>
  </si>
  <si>
    <t>Ukupno SLUŽBA ZA KOMUNALNE POSLOVE, IZGRADNJU I POSLOVE MJESNIH ZAJEDNICA</t>
  </si>
  <si>
    <t xml:space="preserve"> Ukupno SLUŽBA ZA GEODETSKE I IMOVINSKO-PRAVNE POSLOVE</t>
  </si>
  <si>
    <t>Ukupno SLUŽBA CIVILNE ZAŠTITE</t>
  </si>
  <si>
    <t>Sveukupno kapitalni budžet</t>
  </si>
  <si>
    <t>-</t>
  </si>
  <si>
    <t xml:space="preserve">  Vlastiti prihodi, tekući transferi i donacije</t>
  </si>
  <si>
    <t>Član 5.</t>
  </si>
  <si>
    <t>05.SLUŽBA ZA KOMUNALNE POSLOVE, IZGRADNJU I POSLOVE MJESNIH ZAJEDNICA</t>
  </si>
  <si>
    <t>02.STRUČNA SLUŽBA ZA POSLOVE GRADONAČELNIKA</t>
  </si>
  <si>
    <t xml:space="preserve">04.SLUŽBA ZA EKONOMSKI RAZVOJ, PODUZETNIŠTVO I POLJOPRIVREDU  </t>
  </si>
  <si>
    <t xml:space="preserve"> 08.SLUŽBA ZA GEODETSKE I IMOVINSKO-PRAVNE POSLOVE</t>
  </si>
  <si>
    <t>12.SLUŽBA CIVILNE ZAŠTITE</t>
  </si>
  <si>
    <t xml:space="preserve">Izgradnja centralnog gradskog groblja </t>
  </si>
  <si>
    <t xml:space="preserve">Izgradnja centralnog graskog groblja </t>
  </si>
  <si>
    <t xml:space="preserve">   BUDŽET GRADA TUZLA                                                                      za period  01.01.do 31.12.2020. godine</t>
  </si>
  <si>
    <t xml:space="preserve"> KAPITALNI  BUDŽET GRADA TUZLA ZA 2020. GODINU</t>
  </si>
  <si>
    <t>Kapitalni grant - JZNU Dom zdravlja "Dr. Mustafa Šehović" Tuzla- za izgradnju lifta za prilaz Pedijatrijskom odjeljenju</t>
  </si>
  <si>
    <t xml:space="preserve"> Izgradnja mostova</t>
  </si>
  <si>
    <t xml:space="preserve">  UKUPNI                 RASHODI                         BUDŽETA ZA          2020.GODINU</t>
  </si>
  <si>
    <t xml:space="preserve"> PLAN                     RASHODA IZ                     BUDŽETA ZA 2020.GODINU</t>
  </si>
  <si>
    <t xml:space="preserve"> PLAN                             RASPOREDA                     RASHODA PO                    OSNOVU                           VLASTITIH                        PRIHODA,                           TEKUĆIH                      TRANSFERA I   DONACIJA ZA   2020.GODINU</t>
  </si>
  <si>
    <t xml:space="preserve"> PLAN                     RASHODA IZ                     BUDŽETA ZA 2020.GODINU -UVEĆANJE (+)</t>
  </si>
  <si>
    <t xml:space="preserve"> PLAN                     RASHODA IZ                     BUDŽETA ZA 2020.GODINU - UMANJENJE (-)</t>
  </si>
  <si>
    <t>REBALANSIRANI                   PLAN                     RASHODA IZ                     BUDŽETA ZA 2020.GODINU</t>
  </si>
  <si>
    <t xml:space="preserve"> PLAN                             RASPOREDA                     RASHODA PO                    OSNOVU                           VLASTITIH                        PRIHODA,                           TEKUĆIH                      TRANSFERA I   DONACIJA ZA   2020.GODINU - UVEĆANJE (+)</t>
  </si>
  <si>
    <t xml:space="preserve"> PLAN                             RASPOREDA                     RASHODA PO                    OSNOVU                           VLASTITIH                        PRIHODA,                           TEKUĆIH                      TRANSFERA I   DONACIJA ZA   2020.GODINU - UMANJENJE (-)</t>
  </si>
  <si>
    <t>REBALANSIRANI                PLAN                             RASPOREDA                     RASHODA PO                    OSNOVU                           VLASTITIH                        PRIHODA,                           TEKUĆIH                      TRANSFERA I   DONACIJA ZA   2020.GODINU</t>
  </si>
  <si>
    <t xml:space="preserve"> REBALANSIRANI UKUPNI                 RASHODI                         BUDŽETA ZA          2020.GODINU</t>
  </si>
  <si>
    <t xml:space="preserve">                                             REBALANSIRANI  UKUPNO                PLANIRANI PRIHODI ZA                          2020.GODINU</t>
  </si>
  <si>
    <t xml:space="preserve">                              PLAN                BUDŽETSKIH SREDSTAVA ZA 2020.GODINU - UVEĆANJE (+)</t>
  </si>
  <si>
    <t xml:space="preserve">                              PLAN                BUDŽETSKIH SREDSTAVA ZA 2020.GODINU - UMANJENJE (-)</t>
  </si>
  <si>
    <t xml:space="preserve">                              REBALANSIRANI PLAN                BUDŽETSKIH SREDSTAVA ZA 2020.GODINU</t>
  </si>
  <si>
    <t xml:space="preserve">                             PLAN                     PRIHODA PO OSNOVU  VLASTITIH PRIHODA, TEKUĆIH TRANSFERA I DONACIJA ZA    2020.GODINU - UVEĆANJE (+)</t>
  </si>
  <si>
    <t xml:space="preserve">                             PLAN                     PRIHODA PO OSNOVU  VLASTITIH PRIHODA, TEKUĆIH TRANSFERA I DONACIJA ZA    2020.GODINU - UMANJENJE (-) </t>
  </si>
  <si>
    <t xml:space="preserve">                             REBALANSIRANI PLAN                     PRIHODA PO OSNOVU  VLASTITIH PRIHODA, TEKUĆIH TRANSFERA I DONACIJA ZA    2020.GODINU </t>
  </si>
  <si>
    <t xml:space="preserve">                                                                      PLAN                     PRIHODA I               RASHODA IZ BUDŽETA ZA   2020.GODINU</t>
  </si>
  <si>
    <t>UKUPNO                   PLANIRANA SREDSTAVA I                 RASHODi  BUDŽETA             ZA 2020.GODINU</t>
  </si>
  <si>
    <t>PLAN              PRIHODA I                    RASPORED  RASHODA PO OSNOVU  VLASTITIH PRIHODA, TEKUĆIH TRANSFERA I DONACIJA ZA   2020.GODINU</t>
  </si>
  <si>
    <t>REBALANSIRANA UKUPNO                   PLANIRANA SREDSTAVA I                 RASHODi  BUDŽETA             ZA 2020.GODINU</t>
  </si>
  <si>
    <t xml:space="preserve">                                                                      PLAN                     PRIHODA I               RASHODA IZ BUDŽETA ZA   2020.GODINU - UVEĆANJE (+)</t>
  </si>
  <si>
    <t xml:space="preserve">                                                                      PLAN                     PRIHODA I               RASHODA IZ BUDŽETA ZA   2020.GODINU - UMANJENJE (-)</t>
  </si>
  <si>
    <t xml:space="preserve">                                                                      REBALANSIRANI PLAN                     PRIHODA I               RASHODA IZ BUDŽETA ZA   2020.GODINU</t>
  </si>
  <si>
    <t>PLAN              PRIHODA I                    RASPORED  RASHODA PO OSNOVU  VLASTITIH PRIHODA, TEKUĆIH TRANSFERA I DONACIJA ZA   2020.GODINU - UVEĆANJE (+)</t>
  </si>
  <si>
    <t>PLAN              PRIHODA I                    RASPORED  RASHODA PO OSNOVU  VLASTITIH PRIHODA, TEKUĆIH TRANSFERA I DONACIJA ZA   2020.GODINU - UMANJENJE (-)</t>
  </si>
  <si>
    <t>REBALANSIRANI PLAN              PRIHODA I                    RASPORED  RASHODA PO OSNOVU  VLASTITIH PRIHODA, TEKUĆIH TRANSFERA I DONACIJA ZA   2020.GODINU</t>
  </si>
  <si>
    <t xml:space="preserve">                         REBALANSIRANA UKUPNO PLANIRANA SREDSTAVA I                 RASHODI  BUDŽETA ZA          2020.GODINU</t>
  </si>
  <si>
    <t xml:space="preserve">                                                                          PLAN                    PRIHODA I               RASHODA IZ BUDŽETA ZA   2020.GODINU - UVEĆANJE (+)</t>
  </si>
  <si>
    <t xml:space="preserve">                                                                          PLAN                    PRIHODA I               RASHODA IZ BUDŽETA ZA   2020.GODINU - UMANJENJE (-)</t>
  </si>
  <si>
    <t xml:space="preserve">                                                                          REBALANSIRANI PLAN                    PRIHODA I               RASHODA IZ BUDŽETA ZA   2020.GODINU</t>
  </si>
  <si>
    <t xml:space="preserve">                                               PLAN              PRIHODA I RASPORED  RASHODA PO OSNOVU  VLASTITIH PRIHODA, TEKUĆIH TRANSFERA I DONACIJA ZA   2020.GODINU - UVEĆANJE (+)</t>
  </si>
  <si>
    <t xml:space="preserve">                                               PLAN              PRIHODA I RASPORED  RASHODA PO OSNOVU  VLASTITIH PRIHODA, TEKUĆIH TRANSFERA I DONACIJA ZA   2020.GODINU - UMANJENJE (-)</t>
  </si>
  <si>
    <t xml:space="preserve">                                               REBALANSIRANI PLAN              PRIHODA I RASPORED  RASHODA PO OSNOVU  VLASTITIH PRIHODA, TEKUĆIH TRANSFERA I DONACIJA ZA   2020.GODINU</t>
  </si>
  <si>
    <t>REBALANSIRANI UKUPNI                 RASHODI BUDŽETA ZA          2020.GODINU</t>
  </si>
  <si>
    <t xml:space="preserve">                      PLAN               RASHODA IZ BUDŽETA ZA 2020.GODINU - UVEĆANJE (+)</t>
  </si>
  <si>
    <t xml:space="preserve">                      PLAN               RASHODA IZ BUDŽETA ZA 2020.GODINU - UMANJENJE (-)</t>
  </si>
  <si>
    <t xml:space="preserve">                      REBALANSIRANI PLAN               RASHODA IZ BUDŽETA ZA 2020.GODINU</t>
  </si>
  <si>
    <t>PLAN RASPOREDA  RASHODA PO OSNOVU  VLASTITIH PRIHODA, TEKUĆIH TRANSFERA I DONACIJA ZA   2020.GODINU - UVEĆANJE (+)</t>
  </si>
  <si>
    <t>PLAN RASPOREDA  RASHODA PO OSNOVU  VLASTITIH PRIHODA, TEKUĆIH TRANSFERA I DONACIJA ZA   2020.GODINU - UMANJENJE (-)</t>
  </si>
  <si>
    <t>REBALANSIRANIPLAN RASPOREDA  RASHODA PO OSNOVU  VLASTITIH PRIHODA, TEKUĆIH TRANSFERA I DONACIJA ZA   2020.GODINU</t>
  </si>
  <si>
    <t xml:space="preserve">                  REBALANSIRANI UKUPNI                 RASHODI BUDŽETA ZA          2020.GODINU</t>
  </si>
  <si>
    <t xml:space="preserve">                         PLAN               RASHODA IZ BUDŽETA ZA 2020.GODINU - UVEĆANJE (+)</t>
  </si>
  <si>
    <t xml:space="preserve">                         PLAN               RASHODA IZ BUDŽETA ZA 2020.GODINU - UMANJENJE (-)</t>
  </si>
  <si>
    <t xml:space="preserve">                         REBALANSIRANI PLAN               RASHODA IZ BUDŽETA ZA 2020.GODINU</t>
  </si>
  <si>
    <t xml:space="preserve">                         PLAN RASPOREDA  RASHODA PO OSNOVU  VLASTITIH PRIHODA, TEKUĆIH TRANSFERA I DONACIJA ZA   2020.GODINU - UVEĆANJE (+)</t>
  </si>
  <si>
    <t xml:space="preserve">                         PLAN RASPOREDA  RASHODA PO OSNOVU  VLASTITIH PRIHODA, TEKUĆIH TRANSFERA I DONACIJA ZA   2020.GODINU - UMANJENJE (-)</t>
  </si>
  <si>
    <t xml:space="preserve">                         REBALANSIRANI PLAN RASPOREDA  RASHODA PO OSNOVU  VLASTITIH PRIHODA, TEKUĆIH TRANSFERA I DONACIJA ZA   2020.GODINU</t>
  </si>
  <si>
    <t>PRILOG UZ PRIJEDLOG ODLUKE O IZMJENAMA I DOPUNAMA BUDŽETA GRADA TUZLA</t>
  </si>
  <si>
    <t xml:space="preserve">  REBALANSIRANA UKUPNO PLANIRANA   SREDSTAVA I                 RASHODI                     BUDŽETA ZA          2020.GODINU</t>
  </si>
  <si>
    <t xml:space="preserve">                              PLAN            PRIHODA I               RASHODA IZ BUDŽETA ZA   2020.GODINU - UVEĆANJE (+)</t>
  </si>
  <si>
    <t xml:space="preserve">                              PLAN            PRIHODA I               RASHODA IZ BUDŽETA ZA   2020.GODINU - UMANJENJE (-)</t>
  </si>
  <si>
    <t xml:space="preserve">                              REBALANSIRANI PLAN            PRIHODA I               RASHODA IZ BUDŽETA ZA   2020.GODINU</t>
  </si>
  <si>
    <t xml:space="preserve">                           PLAN                 PRIHODA I   RASHODA PO OSNOVU  VLASTITIH PRIHODA,             TEKUĆIH TRANSFERA I DONACIJA ZA  2020.GODINU - UVEĆANJA (+)</t>
  </si>
  <si>
    <t xml:space="preserve">                           PLAN                 PRIHODA I   RASHODA PO OSNOVU  VLASTITIH PRIHODA,             TEKUĆIH TRANSFERA I DONACIJA ZA  2020.GODINU - UMANJENJA (-)</t>
  </si>
  <si>
    <t xml:space="preserve">                          REBALANSIRANI PLAN                 PRIHODA I   RASHODA PO OSNOVU  VLASTITIH PRIHODA,             TEKUĆIH TRANSFERA I DONACIJA ZA  2020.GODINU</t>
  </si>
  <si>
    <t>X UVEĆANJA/UMANJENJA</t>
  </si>
  <si>
    <t>UVEĆANJA / UMANJENJA</t>
  </si>
  <si>
    <t>Rekonstrukcija društvenog doma DTV Partizan Kreka</t>
  </si>
  <si>
    <t>614111-1</t>
  </si>
  <si>
    <t>Grant Ministarstvu sigurnosti BiH</t>
  </si>
  <si>
    <t>Sredstva za hitne intervencije zaštite i spašavanja ljudi i materijalnih dobara nastalih od prirodne i druge nesreće i otklanjanje posljedica od prirodne nesreće</t>
  </si>
  <si>
    <t>614311-69</t>
  </si>
  <si>
    <t>Grantovi službama za zaštitu i spašavanje</t>
  </si>
  <si>
    <t>613329-3</t>
  </si>
  <si>
    <t>Interventne komunalne usluge</t>
  </si>
  <si>
    <t>Nabavka materijala- Fond za zaštitu i spašavanje</t>
  </si>
  <si>
    <t>Primljeni tekući transferi od međunarodnih organizacija</t>
  </si>
  <si>
    <t>Primljeni kapitalni transferi od međunarodnih organizacija</t>
  </si>
  <si>
    <t>Sredstva za saniranje šteta nastalih prirodnom i drugom nesrećom</t>
  </si>
  <si>
    <t>Grant neprof. organ. - Učešće grada u projektima EU, drugih međunarodnih i ostalih neprofitnih organizacija</t>
  </si>
  <si>
    <t>614239-17</t>
  </si>
  <si>
    <t>Grant pojedincima za poticaj poljoprivredne proizvodnje</t>
  </si>
  <si>
    <t>Grant privatnim preduzećima i poduzetnicima za poticaj poljoprivredne proizvodnje</t>
  </si>
  <si>
    <t>SUBVENCIJE PRIVATNIM PREDUZEĆIMA</t>
  </si>
  <si>
    <t>Prihodi po osnovu kamata na investiciona javna sredstva</t>
  </si>
  <si>
    <t>Održavanje i čišćenje vodotoka</t>
  </si>
  <si>
    <t>Tekući grantovi javnim preduzećima</t>
  </si>
  <si>
    <t>615411-1</t>
  </si>
  <si>
    <t>Izdaci za tekuće održavanje puteva</t>
  </si>
  <si>
    <t>Izdaci za tekuće održavanje javne rasvjete</t>
  </si>
  <si>
    <t>614411-1</t>
  </si>
  <si>
    <t>SUBVENCIJE JAVNIM PREDUZEĆIMA</t>
  </si>
  <si>
    <t xml:space="preserve"> Grantovi javnim preduzećima ( JP Veterinarska stanica Tuzla, JZNU Dom zdravlja Tuzla, Dom penzionera, JKP Vodovod i kanalizacija Tuzla )</t>
  </si>
  <si>
    <t>Rekonstrukcija i investiciono održavanje vatrogasnog doma</t>
  </si>
  <si>
    <t>614311-61</t>
  </si>
  <si>
    <t xml:space="preserve">Grant JKP Vodovod i kanalizacija Tuzla </t>
  </si>
  <si>
    <t>I.2. Pregled Budžeta grada Tuzla za period 01.01. -31.12.2020. godine u dijelu Fonda za ublažavanje posljedica izazvanih COVID-om 19</t>
  </si>
  <si>
    <t>B. SREDSTVA FONDA ZA UBLAŽAVANJE POSLJEDICA IZAZVANIH COVID-om 19</t>
  </si>
  <si>
    <t>UKUPNO SREDSTVA FONDA ZA UBLAŽAVANJE POSLJEDICA IZAZVANIH COVID-om 19</t>
  </si>
  <si>
    <t>UKUPNO IZDACI  FONDA ZA UBLAŽAVANJE POSLJEDICA IZAZVANIH COVID-om 19</t>
  </si>
  <si>
    <t>PRIHODI FONDA ZA UBLAŽAVANJE POSLJEDICA IZAZVANIH COVID-om 19</t>
  </si>
  <si>
    <t>RASHODI FONDA ZA UBLAŽAVANJE POSLJEDICA IZAZVANIH COVID-om 19</t>
  </si>
  <si>
    <t>I.3. Pregled Budžeta grada Tuzla za period 01.01. - 31.12.2020.godine u dijelu Fonda za komunalnu infrastrukturu</t>
  </si>
  <si>
    <t>I.4. Pregled Budžeta grada Tuzla za period 01.01. - 31.12.2020.godine u dijelu Fonda za zaštitu i spašavanje ljudi i materijalnih dobara</t>
  </si>
  <si>
    <t xml:space="preserve">I.5. Pregled Budžeta grada Tuzla za period 01.01. - 31.12.2020.godine u dijelu Fonda  za skloništa </t>
  </si>
  <si>
    <t xml:space="preserve">I.6. Pregled Budžeta grada Tuzla za period 01.01. - 31.12.2020.godine u dijelu Fonda  za zaštitu od požara i vatrogastva </t>
  </si>
  <si>
    <t>I.7. Pregled Budžeta grada Tuzla za period 01.01. - 31.12.2020.godine u dijelu Fonda sredstva od naknade za prihode ostvarene radom termoelektrana</t>
  </si>
  <si>
    <t>I.8. Pregled Budžeta grada Tuzla za period 01.01. - 31.12.2020.godine u dijelu  Stambenog fonda za socijalno stanovanje</t>
  </si>
  <si>
    <t>C. SREDSTVA JU CENTAR ZA SOCIJALNI RAD TUZLA</t>
  </si>
  <si>
    <t>Grantovi pojedincima za ublažavanje socio-ekonomskih posljedica izazvanih COVID-om 19</t>
  </si>
  <si>
    <t>Grant za MDD Merhamet Tuzla - za Narodnu kuhinju Imaret za ublažavanje socio-ekonomskih posljedica izazvanih COVID-om19</t>
  </si>
  <si>
    <t>614519-3</t>
  </si>
  <si>
    <t>UKUPNI IZDACI FONDA ZA UBLAŽAVANJE POSLJEDICA IZAZVANIH COVID-om 19</t>
  </si>
  <si>
    <t>Grant za Turističku zajednicu Grada Tuzla - za ublažavanje socio-ekonomskih posljedica izazvanih COVID-om 19</t>
  </si>
  <si>
    <t>Izdaci fonda za ublažavanje posljedica izazvanih COVID-om 19</t>
  </si>
  <si>
    <t>V SUFICIT/DEFICIT  iz predhodne godine po osnovu nerealizovanih rezervacija</t>
  </si>
  <si>
    <t xml:space="preserve">SUFICIT/DEFICIT IZ PRETHODNE GODINE PO OSNOVU NEREALIZOVANIH REZERVACIJA </t>
  </si>
  <si>
    <t xml:space="preserve"> SUFICIT/DEFICIT IZ PRETHODNE GODINE PO OSNOVU NEREALIZOVANIH REZERVACIJA </t>
  </si>
  <si>
    <t xml:space="preserve">SUFICIT/DEFICIT IZ PRETHODNE GODINE </t>
  </si>
  <si>
    <t>A.1. SUFICIT/DEFICIT iz prethodne godine po osnovu nerealizovanih rezervacija</t>
  </si>
  <si>
    <t>0408 - IZDACI FONDA ZA UBLAŽAVANJE POSLJEDICA IZAZVANIH COVID-om 19</t>
  </si>
  <si>
    <t>1702 - IZDACI FONDA ZA UBLAŽAVANJE POSLJEDICA IZAZVANIH COVID-om 19</t>
  </si>
  <si>
    <t>UKUPNO SLUŽBA ZA KULTURU, SPORT, MLADE I SOCIJALNU ZAŠTITU</t>
  </si>
  <si>
    <t xml:space="preserve">  SLUŽBA ZA KULTURU, SPORT, MLADE I SOCIJALNU ZAŠTITU</t>
  </si>
  <si>
    <t>0408</t>
  </si>
  <si>
    <t>1702</t>
  </si>
  <si>
    <r>
      <t xml:space="preserve">Sredstva u Budžetu Grada Tuzla za period 01.01.-31.12.2020. godine u iznosu od 75.834.663,96   </t>
    </r>
    <r>
      <rPr>
        <b/>
        <sz val="48"/>
        <rFont val="Arial"/>
        <family val="2"/>
      </rPr>
      <t>KM</t>
    </r>
    <r>
      <rPr>
        <sz val="48"/>
        <rFont val="Arial"/>
        <family val="2"/>
      </rPr>
      <t xml:space="preserve"> raspoređena su u posebnom dijelu Budžeta kako slijedi:</t>
    </r>
  </si>
  <si>
    <t>Grant samostalnim poduzetnicima i obtnicima za ublažavanje socio-ekonomskih posljedica izazvanih COVID-om19</t>
  </si>
  <si>
    <t>Tekući grantovi javnim preduzećima i javnim komunalnim preduzećima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</si>
</sst>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\ &quot;kn&quot;_-;\-* #,##0.00\ &quot;kn&quot;_-;_-* &quot;-&quot;??\ &quot;kn&quot;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[$-141A]dd\.\ mmmm\ yyyy"/>
  </numFmts>
  <fonts count="9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3"/>
      <name val="Arial"/>
      <family val="2"/>
    </font>
    <font>
      <b/>
      <sz val="13"/>
      <name val="Arial"/>
      <family val="2"/>
    </font>
    <font>
      <b/>
      <sz val="22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22"/>
      <name val="Arial"/>
      <family val="2"/>
    </font>
    <font>
      <b/>
      <u val="single"/>
      <sz val="18"/>
      <name val="Arial"/>
      <family val="2"/>
    </font>
    <font>
      <sz val="24"/>
      <name val="Arial"/>
      <family val="2"/>
    </font>
    <font>
      <b/>
      <u val="single"/>
      <sz val="2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u val="single"/>
      <sz val="22"/>
      <name val="Arial"/>
      <family val="2"/>
    </font>
    <font>
      <sz val="20"/>
      <name val="Arial"/>
      <family val="2"/>
    </font>
    <font>
      <b/>
      <i/>
      <sz val="22"/>
      <name val="Arial"/>
      <family val="2"/>
    </font>
    <font>
      <sz val="22"/>
      <name val="Tahoma"/>
      <family val="2"/>
    </font>
    <font>
      <i/>
      <sz val="22"/>
      <name val="Arial"/>
      <family val="2"/>
    </font>
    <font>
      <b/>
      <sz val="22"/>
      <name val="Tahoma"/>
      <family val="2"/>
    </font>
    <font>
      <sz val="20"/>
      <name val="Tahoma"/>
      <family val="2"/>
    </font>
    <font>
      <sz val="15"/>
      <name val="Arial"/>
      <family val="2"/>
    </font>
    <font>
      <sz val="28"/>
      <name val="Tahoma"/>
      <family val="2"/>
    </font>
    <font>
      <b/>
      <sz val="28"/>
      <name val="Tahoma"/>
      <family val="2"/>
    </font>
    <font>
      <b/>
      <sz val="36"/>
      <name val="Tahoma"/>
      <family val="2"/>
    </font>
    <font>
      <b/>
      <sz val="20"/>
      <name val="Tahoma"/>
      <family val="2"/>
    </font>
    <font>
      <sz val="15"/>
      <name val="Tahoma"/>
      <family val="2"/>
    </font>
    <font>
      <b/>
      <sz val="15"/>
      <name val="Tahoma"/>
      <family val="2"/>
    </font>
    <font>
      <b/>
      <sz val="18"/>
      <name val="Tahoma"/>
      <family val="2"/>
    </font>
    <font>
      <b/>
      <u val="single"/>
      <sz val="18"/>
      <name val="Tahoma"/>
      <family val="2"/>
    </font>
    <font>
      <sz val="18"/>
      <name val="Tahoma"/>
      <family val="2"/>
    </font>
    <font>
      <u val="single"/>
      <sz val="18"/>
      <name val="Arial"/>
      <family val="2"/>
    </font>
    <font>
      <sz val="15"/>
      <color indexed="10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sz val="18"/>
      <color indexed="10"/>
      <name val="Arial"/>
      <family val="2"/>
    </font>
    <font>
      <sz val="18"/>
      <color indexed="10"/>
      <name val="Tahoma"/>
      <family val="2"/>
    </font>
    <font>
      <b/>
      <sz val="18"/>
      <color indexed="10"/>
      <name val="Tahoma"/>
      <family val="2"/>
    </font>
    <font>
      <b/>
      <sz val="18"/>
      <color indexed="10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b/>
      <sz val="3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4" fillId="29" borderId="1" applyNumberFormat="0" applyAlignment="0" applyProtection="0"/>
    <xf numFmtId="0" fontId="85" fillId="0" borderId="6" applyNumberFormat="0" applyFill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31" borderId="7" applyNumberFormat="0" applyFont="0" applyAlignment="0" applyProtection="0"/>
    <xf numFmtId="0" fontId="87" fillId="26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1563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172" fontId="4" fillId="0" borderId="0" xfId="44" applyFont="1" applyAlignment="1">
      <alignment horizontal="left"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/>
    </xf>
    <xf numFmtId="0" fontId="11" fillId="32" borderId="13" xfId="0" applyFont="1" applyFill="1" applyBorder="1" applyAlignment="1">
      <alignment vertical="center"/>
    </xf>
    <xf numFmtId="4" fontId="11" fillId="32" borderId="14" xfId="0" applyNumberFormat="1" applyFont="1" applyFill="1" applyBorder="1" applyAlignment="1">
      <alignment vertical="center"/>
    </xf>
    <xf numFmtId="0" fontId="10" fillId="32" borderId="10" xfId="0" applyFont="1" applyFill="1" applyBorder="1" applyAlignment="1">
      <alignment/>
    </xf>
    <xf numFmtId="0" fontId="11" fillId="32" borderId="15" xfId="0" applyFont="1" applyFill="1" applyBorder="1" applyAlignment="1">
      <alignment vertical="center"/>
    </xf>
    <xf numFmtId="4" fontId="11" fillId="32" borderId="16" xfId="0" applyNumberFormat="1" applyFont="1" applyFill="1" applyBorder="1" applyAlignment="1">
      <alignment vertical="center"/>
    </xf>
    <xf numFmtId="0" fontId="8" fillId="32" borderId="0" xfId="0" applyFont="1" applyFill="1" applyAlignment="1">
      <alignment/>
    </xf>
    <xf numFmtId="4" fontId="8" fillId="32" borderId="0" xfId="0" applyNumberFormat="1" applyFont="1" applyFill="1" applyAlignment="1">
      <alignment/>
    </xf>
    <xf numFmtId="0" fontId="8" fillId="32" borderId="0" xfId="0" applyFont="1" applyFill="1" applyAlignment="1">
      <alignment/>
    </xf>
    <xf numFmtId="0" fontId="11" fillId="32" borderId="13" xfId="0" applyFont="1" applyFill="1" applyBorder="1" applyAlignment="1">
      <alignment vertical="center" wrapText="1"/>
    </xf>
    <xf numFmtId="4" fontId="11" fillId="32" borderId="17" xfId="0" applyNumberFormat="1" applyFont="1" applyFill="1" applyBorder="1" applyAlignment="1">
      <alignment vertical="center"/>
    </xf>
    <xf numFmtId="0" fontId="11" fillId="32" borderId="18" xfId="0" applyFont="1" applyFill="1" applyBorder="1" applyAlignment="1">
      <alignment vertical="center" wrapText="1"/>
    </xf>
    <xf numFmtId="0" fontId="11" fillId="32" borderId="0" xfId="0" applyFont="1" applyFill="1" applyAlignment="1">
      <alignment vertical="center"/>
    </xf>
    <xf numFmtId="4" fontId="11" fillId="32" borderId="0" xfId="0" applyNumberFormat="1" applyFont="1" applyFill="1" applyAlignment="1">
      <alignment vertical="center"/>
    </xf>
    <xf numFmtId="0" fontId="10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/>
    </xf>
    <xf numFmtId="0" fontId="8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 wrapText="1"/>
    </xf>
    <xf numFmtId="0" fontId="10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horizontal="center" vertical="center"/>
    </xf>
    <xf numFmtId="0" fontId="0" fillId="0" borderId="16" xfId="0" applyFont="1" applyBorder="1" applyAlignment="1">
      <alignment/>
    </xf>
    <xf numFmtId="0" fontId="0" fillId="32" borderId="0" xfId="0" applyFont="1" applyFill="1" applyAlignment="1">
      <alignment/>
    </xf>
    <xf numFmtId="4" fontId="11" fillId="32" borderId="1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2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4" fontId="14" fillId="32" borderId="14" xfId="0" applyNumberFormat="1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4" fontId="11" fillId="32" borderId="14" xfId="0" applyNumberFormat="1" applyFont="1" applyFill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4" fontId="11" fillId="32" borderId="16" xfId="0" applyNumberFormat="1" applyFont="1" applyFill="1" applyBorder="1" applyAlignment="1">
      <alignment vertical="center"/>
    </xf>
    <xf numFmtId="0" fontId="0" fillId="32" borderId="0" xfId="0" applyFont="1" applyFill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4" fontId="11" fillId="32" borderId="17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49" fontId="14" fillId="0" borderId="23" xfId="0" applyNumberFormat="1" applyFont="1" applyBorder="1" applyAlignment="1">
      <alignment horizontal="center" vertical="center"/>
    </xf>
    <xf numFmtId="4" fontId="14" fillId="0" borderId="24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horizontal="center" vertical="center"/>
    </xf>
    <xf numFmtId="4" fontId="14" fillId="32" borderId="17" xfId="0" applyNumberFormat="1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4" fontId="15" fillId="33" borderId="14" xfId="0" applyNumberFormat="1" applyFont="1" applyFill="1" applyBorder="1" applyAlignment="1">
      <alignment horizontal="right" vertical="center" wrapText="1"/>
    </xf>
    <xf numFmtId="0" fontId="16" fillId="33" borderId="14" xfId="0" applyFont="1" applyFill="1" applyBorder="1" applyAlignment="1">
      <alignment horizontal="left" vertical="center" wrapText="1"/>
    </xf>
    <xf numFmtId="4" fontId="16" fillId="33" borderId="14" xfId="0" applyNumberFormat="1" applyFont="1" applyFill="1" applyBorder="1" applyAlignment="1">
      <alignment horizontal="right" vertical="center" wrapText="1"/>
    </xf>
    <xf numFmtId="0" fontId="15" fillId="34" borderId="14" xfId="0" applyFont="1" applyFill="1" applyBorder="1" applyAlignment="1">
      <alignment horizontal="left" vertical="center" wrapText="1"/>
    </xf>
    <xf numFmtId="4" fontId="15" fillId="34" borderId="14" xfId="0" applyNumberFormat="1" applyFont="1" applyFill="1" applyBorder="1" applyAlignment="1">
      <alignment horizontal="right" vertical="center" wrapText="1"/>
    </xf>
    <xf numFmtId="4" fontId="16" fillId="34" borderId="14" xfId="0" applyNumberFormat="1" applyFont="1" applyFill="1" applyBorder="1" applyAlignment="1">
      <alignment horizontal="right" vertical="center" wrapText="1"/>
    </xf>
    <xf numFmtId="4" fontId="15" fillId="32" borderId="14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 wrapText="1"/>
    </xf>
    <xf numFmtId="0" fontId="15" fillId="32" borderId="25" xfId="0" applyFont="1" applyFill="1" applyBorder="1" applyAlignment="1">
      <alignment vertical="center"/>
    </xf>
    <xf numFmtId="0" fontId="15" fillId="32" borderId="25" xfId="0" applyFont="1" applyFill="1" applyBorder="1" applyAlignment="1">
      <alignment horizontal="center" vertical="center"/>
    </xf>
    <xf numFmtId="0" fontId="15" fillId="32" borderId="26" xfId="0" applyFont="1" applyFill="1" applyBorder="1" applyAlignment="1">
      <alignment vertical="center"/>
    </xf>
    <xf numFmtId="0" fontId="16" fillId="32" borderId="25" xfId="0" applyFont="1" applyFill="1" applyBorder="1" applyAlignment="1">
      <alignment horizontal="center"/>
    </xf>
    <xf numFmtId="0" fontId="16" fillId="32" borderId="26" xfId="0" applyFont="1" applyFill="1" applyBorder="1" applyAlignment="1">
      <alignment/>
    </xf>
    <xf numFmtId="0" fontId="16" fillId="32" borderId="18" xfId="0" applyFont="1" applyFill="1" applyBorder="1" applyAlignment="1">
      <alignment horizontal="center"/>
    </xf>
    <xf numFmtId="4" fontId="16" fillId="32" borderId="14" xfId="0" applyNumberFormat="1" applyFont="1" applyFill="1" applyBorder="1" applyAlignment="1">
      <alignment/>
    </xf>
    <xf numFmtId="0" fontId="16" fillId="32" borderId="18" xfId="0" applyFont="1" applyFill="1" applyBorder="1" applyAlignment="1">
      <alignment horizontal="center" wrapText="1"/>
    </xf>
    <xf numFmtId="0" fontId="16" fillId="32" borderId="17" xfId="0" applyFont="1" applyFill="1" applyBorder="1" applyAlignment="1">
      <alignment wrapText="1"/>
    </xf>
    <xf numFmtId="0" fontId="16" fillId="32" borderId="13" xfId="0" applyFont="1" applyFill="1" applyBorder="1" applyAlignment="1">
      <alignment horizontal="center"/>
    </xf>
    <xf numFmtId="0" fontId="16" fillId="32" borderId="13" xfId="0" applyFont="1" applyFill="1" applyBorder="1" applyAlignment="1">
      <alignment horizontal="center" wrapText="1"/>
    </xf>
    <xf numFmtId="0" fontId="16" fillId="32" borderId="14" xfId="0" applyFont="1" applyFill="1" applyBorder="1" applyAlignment="1">
      <alignment wrapText="1"/>
    </xf>
    <xf numFmtId="0" fontId="16" fillId="32" borderId="13" xfId="0" applyFont="1" applyFill="1" applyBorder="1" applyAlignment="1">
      <alignment/>
    </xf>
    <xf numFmtId="0" fontId="15" fillId="32" borderId="14" xfId="0" applyFont="1" applyFill="1" applyBorder="1" applyAlignment="1">
      <alignment vertical="center"/>
    </xf>
    <xf numFmtId="0" fontId="15" fillId="32" borderId="18" xfId="0" applyFont="1" applyFill="1" applyBorder="1" applyAlignment="1">
      <alignment horizontal="center" vertical="center"/>
    </xf>
    <xf numFmtId="0" fontId="15" fillId="32" borderId="17" xfId="0" applyFont="1" applyFill="1" applyBorder="1" applyAlignment="1">
      <alignment horizontal="left" vertical="center"/>
    </xf>
    <xf numFmtId="4" fontId="16" fillId="32" borderId="17" xfId="0" applyNumberFormat="1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16" fillId="32" borderId="25" xfId="0" applyFont="1" applyFill="1" applyBorder="1" applyAlignment="1">
      <alignment horizontal="center" vertical="center"/>
    </xf>
    <xf numFmtId="0" fontId="16" fillId="32" borderId="26" xfId="0" applyFont="1" applyFill="1" applyBorder="1" applyAlignment="1">
      <alignment wrapText="1"/>
    </xf>
    <xf numFmtId="0" fontId="15" fillId="32" borderId="17" xfId="0" applyFont="1" applyFill="1" applyBorder="1" applyAlignment="1">
      <alignment vertical="center"/>
    </xf>
    <xf numFmtId="4" fontId="15" fillId="32" borderId="17" xfId="0" applyNumberFormat="1" applyFont="1" applyFill="1" applyBorder="1" applyAlignment="1">
      <alignment vertical="center"/>
    </xf>
    <xf numFmtId="0" fontId="15" fillId="32" borderId="13" xfId="0" applyFont="1" applyFill="1" applyBorder="1" applyAlignment="1">
      <alignment horizontal="center" vertical="center"/>
    </xf>
    <xf numFmtId="0" fontId="15" fillId="32" borderId="14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6" fillId="32" borderId="23" xfId="0" applyFont="1" applyFill="1" applyBorder="1" applyAlignment="1">
      <alignment horizontal="center"/>
    </xf>
    <xf numFmtId="0" fontId="16" fillId="32" borderId="22" xfId="0" applyFont="1" applyFill="1" applyBorder="1" applyAlignment="1">
      <alignment wrapText="1"/>
    </xf>
    <xf numFmtId="0" fontId="15" fillId="32" borderId="15" xfId="0" applyFont="1" applyFill="1" applyBorder="1" applyAlignment="1">
      <alignment horizontal="center" vertical="center"/>
    </xf>
    <xf numFmtId="0" fontId="15" fillId="32" borderId="16" xfId="0" applyFont="1" applyFill="1" applyBorder="1" applyAlignment="1">
      <alignment horizontal="center" vertical="center"/>
    </xf>
    <xf numFmtId="0" fontId="12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16" fillId="32" borderId="18" xfId="0" applyFont="1" applyFill="1" applyBorder="1" applyAlignment="1">
      <alignment/>
    </xf>
    <xf numFmtId="0" fontId="19" fillId="32" borderId="17" xfId="0" applyFont="1" applyFill="1" applyBorder="1" applyAlignment="1">
      <alignment horizontal="center" vertical="center" wrapText="1"/>
    </xf>
    <xf numFmtId="0" fontId="16" fillId="32" borderId="14" xfId="0" applyFont="1" applyFill="1" applyBorder="1" applyAlignment="1">
      <alignment/>
    </xf>
    <xf numFmtId="0" fontId="16" fillId="32" borderId="13" xfId="0" applyFont="1" applyFill="1" applyBorder="1" applyAlignment="1">
      <alignment horizontal="center" vertical="center"/>
    </xf>
    <xf numFmtId="0" fontId="16" fillId="32" borderId="1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5" fillId="32" borderId="13" xfId="0" applyFont="1" applyFill="1" applyBorder="1" applyAlignment="1">
      <alignment horizontal="left" vertical="center"/>
    </xf>
    <xf numFmtId="0" fontId="15" fillId="32" borderId="1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5" fillId="32" borderId="15" xfId="0" applyFont="1" applyFill="1" applyBorder="1" applyAlignment="1">
      <alignment horizontal="left" vertical="center"/>
    </xf>
    <xf numFmtId="0" fontId="15" fillId="32" borderId="16" xfId="0" applyFont="1" applyFill="1" applyBorder="1" applyAlignment="1">
      <alignment horizontal="left" vertical="center"/>
    </xf>
    <xf numFmtId="0" fontId="8" fillId="32" borderId="0" xfId="0" applyFont="1" applyFill="1" applyAlignment="1">
      <alignment/>
    </xf>
    <xf numFmtId="0" fontId="15" fillId="32" borderId="18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15" fillId="32" borderId="1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6" fillId="32" borderId="23" xfId="0" applyFont="1" applyFill="1" applyBorder="1" applyAlignment="1">
      <alignment horizontal="center" vertical="center"/>
    </xf>
    <xf numFmtId="0" fontId="16" fillId="32" borderId="22" xfId="0" applyFont="1" applyFill="1" applyBorder="1" applyAlignment="1">
      <alignment vertical="center" wrapText="1"/>
    </xf>
    <xf numFmtId="0" fontId="16" fillId="32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32" borderId="22" xfId="0" applyFont="1" applyFill="1" applyBorder="1" applyAlignment="1">
      <alignment/>
    </xf>
    <xf numFmtId="0" fontId="15" fillId="32" borderId="13" xfId="0" applyFont="1" applyFill="1" applyBorder="1" applyAlignment="1">
      <alignment horizontal="center"/>
    </xf>
    <xf numFmtId="0" fontId="15" fillId="32" borderId="15" xfId="0" applyFont="1" applyFill="1" applyBorder="1" applyAlignment="1">
      <alignment vertical="center"/>
    </xf>
    <xf numFmtId="0" fontId="15" fillId="32" borderId="16" xfId="0" applyFont="1" applyFill="1" applyBorder="1" applyAlignment="1">
      <alignment vertical="center"/>
    </xf>
    <xf numFmtId="0" fontId="15" fillId="32" borderId="26" xfId="0" applyFont="1" applyFill="1" applyBorder="1" applyAlignment="1">
      <alignment wrapText="1"/>
    </xf>
    <xf numFmtId="0" fontId="16" fillId="32" borderId="22" xfId="0" applyFont="1" applyFill="1" applyBorder="1" applyAlignment="1">
      <alignment vertical="center"/>
    </xf>
    <xf numFmtId="0" fontId="15" fillId="32" borderId="16" xfId="0" applyFont="1" applyFill="1" applyBorder="1" applyAlignment="1">
      <alignment vertical="center" wrapText="1"/>
    </xf>
    <xf numFmtId="0" fontId="15" fillId="32" borderId="25" xfId="0" applyFont="1" applyFill="1" applyBorder="1" applyAlignment="1">
      <alignment vertical="center" wrapText="1"/>
    </xf>
    <xf numFmtId="0" fontId="15" fillId="32" borderId="22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5" fillId="32" borderId="15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15" fillId="32" borderId="22" xfId="0" applyFont="1" applyFill="1" applyBorder="1" applyAlignment="1">
      <alignment vertical="center" wrapText="1"/>
    </xf>
    <xf numFmtId="0" fontId="0" fillId="0" borderId="22" xfId="0" applyFont="1" applyBorder="1" applyAlignment="1">
      <alignment/>
    </xf>
    <xf numFmtId="0" fontId="15" fillId="32" borderId="23" xfId="0" applyFont="1" applyFill="1" applyBorder="1" applyAlignment="1">
      <alignment horizontal="center"/>
    </xf>
    <xf numFmtId="4" fontId="15" fillId="32" borderId="28" xfId="0" applyNumberFormat="1" applyFont="1" applyFill="1" applyBorder="1" applyAlignment="1">
      <alignment vertical="center"/>
    </xf>
    <xf numFmtId="0" fontId="15" fillId="32" borderId="26" xfId="0" applyFont="1" applyFill="1" applyBorder="1" applyAlignment="1">
      <alignment/>
    </xf>
    <xf numFmtId="0" fontId="15" fillId="32" borderId="13" xfId="0" applyFont="1" applyFill="1" applyBorder="1" applyAlignment="1">
      <alignment vertical="center"/>
    </xf>
    <xf numFmtId="0" fontId="15" fillId="32" borderId="29" xfId="0" applyFont="1" applyFill="1" applyBorder="1" applyAlignment="1">
      <alignment vertical="center"/>
    </xf>
    <xf numFmtId="0" fontId="14" fillId="32" borderId="0" xfId="0" applyFont="1" applyFill="1" applyAlignment="1">
      <alignment vertical="center"/>
    </xf>
    <xf numFmtId="4" fontId="14" fillId="32" borderId="0" xfId="0" applyNumberFormat="1" applyFont="1" applyFill="1" applyAlignment="1">
      <alignment vertical="center"/>
    </xf>
    <xf numFmtId="0" fontId="15" fillId="32" borderId="18" xfId="0" applyFont="1" applyFill="1" applyBorder="1" applyAlignment="1">
      <alignment vertical="center"/>
    </xf>
    <xf numFmtId="0" fontId="16" fillId="32" borderId="26" xfId="0" applyFont="1" applyFill="1" applyBorder="1" applyAlignment="1">
      <alignment vertical="center"/>
    </xf>
    <xf numFmtId="0" fontId="19" fillId="32" borderId="17" xfId="0" applyFont="1" applyFill="1" applyBorder="1" applyAlignment="1">
      <alignment horizontal="center" vertical="center"/>
    </xf>
    <xf numFmtId="0" fontId="16" fillId="32" borderId="26" xfId="0" applyFont="1" applyFill="1" applyBorder="1" applyAlignment="1">
      <alignment vertical="center" wrapText="1"/>
    </xf>
    <xf numFmtId="0" fontId="16" fillId="32" borderId="18" xfId="0" applyFont="1" applyFill="1" applyBorder="1" applyAlignment="1">
      <alignment horizontal="center" vertical="center"/>
    </xf>
    <xf numFmtId="0" fontId="19" fillId="32" borderId="26" xfId="0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vertical="center"/>
    </xf>
    <xf numFmtId="0" fontId="15" fillId="32" borderId="20" xfId="0" applyFont="1" applyFill="1" applyBorder="1" applyAlignment="1">
      <alignment vertical="center" wrapText="1"/>
    </xf>
    <xf numFmtId="4" fontId="15" fillId="32" borderId="2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16" fillId="32" borderId="18" xfId="0" applyFont="1" applyFill="1" applyBorder="1" applyAlignment="1">
      <alignment horizontal="center" vertical="center" wrapText="1"/>
    </xf>
    <xf numFmtId="0" fontId="16" fillId="32" borderId="13" xfId="0" applyFont="1" applyFill="1" applyBorder="1" applyAlignment="1">
      <alignment horizontal="center" vertical="center" wrapText="1"/>
    </xf>
    <xf numFmtId="0" fontId="15" fillId="32" borderId="26" xfId="0" applyFont="1" applyFill="1" applyBorder="1" applyAlignment="1">
      <alignment horizontal="left" vertical="center" wrapText="1"/>
    </xf>
    <xf numFmtId="0" fontId="16" fillId="32" borderId="14" xfId="0" applyFont="1" applyFill="1" applyBorder="1" applyAlignment="1">
      <alignment horizontal="left" wrapText="1"/>
    </xf>
    <xf numFmtId="0" fontId="15" fillId="32" borderId="25" xfId="0" applyFont="1" applyFill="1" applyBorder="1" applyAlignment="1">
      <alignment horizontal="center" wrapText="1"/>
    </xf>
    <xf numFmtId="0" fontId="16" fillId="32" borderId="15" xfId="0" applyFont="1" applyFill="1" applyBorder="1" applyAlignment="1">
      <alignment horizontal="center"/>
    </xf>
    <xf numFmtId="0" fontId="15" fillId="32" borderId="30" xfId="0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14" fillId="32" borderId="29" xfId="0" applyFont="1" applyFill="1" applyBorder="1" applyAlignment="1">
      <alignment horizontal="center" vertical="center" wrapText="1"/>
    </xf>
    <xf numFmtId="0" fontId="14" fillId="32" borderId="31" xfId="0" applyFont="1" applyFill="1" applyBorder="1" applyAlignment="1">
      <alignment horizontal="center" vertical="center" wrapText="1"/>
    </xf>
    <xf numFmtId="0" fontId="11" fillId="32" borderId="23" xfId="0" applyFont="1" applyFill="1" applyBorder="1" applyAlignment="1">
      <alignment horizontal="center" vertical="center"/>
    </xf>
    <xf numFmtId="0" fontId="11" fillId="32" borderId="22" xfId="0" applyFont="1" applyFill="1" applyBorder="1" applyAlignment="1">
      <alignment horizontal="center" vertical="center" wrapText="1"/>
    </xf>
    <xf numFmtId="0" fontId="15" fillId="32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32" borderId="24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4" fontId="8" fillId="32" borderId="14" xfId="0" applyNumberFormat="1" applyFont="1" applyFill="1" applyBorder="1" applyAlignment="1">
      <alignment vertical="center"/>
    </xf>
    <xf numFmtId="4" fontId="8" fillId="32" borderId="24" xfId="0" applyNumberFormat="1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4" fontId="10" fillId="32" borderId="14" xfId="0" applyNumberFormat="1" applyFont="1" applyFill="1" applyBorder="1" applyAlignment="1">
      <alignment vertical="center"/>
    </xf>
    <xf numFmtId="4" fontId="10" fillId="32" borderId="1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horizontal="left" vertical="center"/>
    </xf>
    <xf numFmtId="0" fontId="23" fillId="0" borderId="26" xfId="0" applyFont="1" applyBorder="1" applyAlignment="1">
      <alignment vertical="center" wrapText="1"/>
    </xf>
    <xf numFmtId="0" fontId="22" fillId="0" borderId="26" xfId="0" applyFont="1" applyBorder="1" applyAlignment="1">
      <alignment horizontal="left" vertic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3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0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5" fillId="32" borderId="21" xfId="0" applyFont="1" applyFill="1" applyBorder="1" applyAlignment="1">
      <alignment horizontal="center" vertical="center"/>
    </xf>
    <xf numFmtId="0" fontId="15" fillId="32" borderId="3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left"/>
    </xf>
    <xf numFmtId="0" fontId="18" fillId="32" borderId="21" xfId="0" applyFont="1" applyFill="1" applyBorder="1" applyAlignment="1">
      <alignment/>
    </xf>
    <xf numFmtId="0" fontId="18" fillId="32" borderId="32" xfId="0" applyFont="1" applyFill="1" applyBorder="1" applyAlignment="1">
      <alignment/>
    </xf>
    <xf numFmtId="0" fontId="5" fillId="0" borderId="25" xfId="0" applyFont="1" applyBorder="1" applyAlignment="1">
      <alignment horizontal="center"/>
    </xf>
    <xf numFmtId="0" fontId="21" fillId="0" borderId="33" xfId="0" applyFont="1" applyBorder="1" applyAlignment="1">
      <alignment horizontal="left"/>
    </xf>
    <xf numFmtId="0" fontId="18" fillId="32" borderId="28" xfId="0" applyFont="1" applyFill="1" applyBorder="1" applyAlignment="1">
      <alignment/>
    </xf>
    <xf numFmtId="0" fontId="18" fillId="32" borderId="34" xfId="0" applyFont="1" applyFill="1" applyBorder="1" applyAlignment="1">
      <alignment/>
    </xf>
    <xf numFmtId="0" fontId="18" fillId="0" borderId="25" xfId="0" applyFont="1" applyBorder="1" applyAlignment="1">
      <alignment horizontal="center" vertical="center"/>
    </xf>
    <xf numFmtId="0" fontId="18" fillId="0" borderId="33" xfId="0" applyFont="1" applyBorder="1" applyAlignment="1">
      <alignment vertical="center"/>
    </xf>
    <xf numFmtId="4" fontId="18" fillId="32" borderId="26" xfId="0" applyNumberFormat="1" applyFont="1" applyFill="1" applyBorder="1" applyAlignment="1">
      <alignment vertical="center"/>
    </xf>
    <xf numFmtId="4" fontId="18" fillId="32" borderId="22" xfId="0" applyNumberFormat="1" applyFont="1" applyFill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35" xfId="0" applyFont="1" applyBorder="1" applyAlignment="1">
      <alignment vertical="center"/>
    </xf>
    <xf numFmtId="4" fontId="18" fillId="32" borderId="14" xfId="0" applyNumberFormat="1" applyFont="1" applyFill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36" xfId="0" applyFont="1" applyBorder="1" applyAlignment="1">
      <alignment vertical="center" wrapText="1"/>
    </xf>
    <xf numFmtId="0" fontId="18" fillId="0" borderId="36" xfId="0" applyFont="1" applyBorder="1" applyAlignment="1">
      <alignment vertical="center"/>
    </xf>
    <xf numFmtId="4" fontId="18" fillId="32" borderId="21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4" fontId="5" fillId="32" borderId="21" xfId="0" applyNumberFormat="1" applyFont="1" applyFill="1" applyBorder="1" applyAlignment="1">
      <alignment vertical="center"/>
    </xf>
    <xf numFmtId="4" fontId="5" fillId="32" borderId="22" xfId="0" applyNumberFormat="1" applyFont="1" applyFill="1" applyBorder="1" applyAlignment="1">
      <alignment vertical="center"/>
    </xf>
    <xf numFmtId="0" fontId="26" fillId="0" borderId="17" xfId="0" applyFont="1" applyBorder="1" applyAlignment="1">
      <alignment/>
    </xf>
    <xf numFmtId="0" fontId="26" fillId="32" borderId="21" xfId="0" applyFont="1" applyFill="1" applyBorder="1" applyAlignment="1">
      <alignment/>
    </xf>
    <xf numFmtId="0" fontId="26" fillId="0" borderId="33" xfId="0" applyFont="1" applyBorder="1" applyAlignment="1">
      <alignment/>
    </xf>
    <xf numFmtId="0" fontId="26" fillId="32" borderId="28" xfId="0" applyFont="1" applyFill="1" applyBorder="1" applyAlignment="1">
      <alignment/>
    </xf>
    <xf numFmtId="0" fontId="18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/>
    </xf>
    <xf numFmtId="4" fontId="5" fillId="32" borderId="14" xfId="0" applyNumberFormat="1" applyFont="1" applyFill="1" applyBorder="1" applyAlignment="1">
      <alignment vertical="center"/>
    </xf>
    <xf numFmtId="0" fontId="21" fillId="0" borderId="36" xfId="0" applyFont="1" applyBorder="1" applyAlignment="1">
      <alignment vertical="center"/>
    </xf>
    <xf numFmtId="4" fontId="5" fillId="32" borderId="17" xfId="0" applyNumberFormat="1" applyFont="1" applyFill="1" applyBorder="1" applyAlignment="1">
      <alignment vertical="center"/>
    </xf>
    <xf numFmtId="4" fontId="5" fillId="32" borderId="26" xfId="0" applyNumberFormat="1" applyFont="1" applyFill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0" fontId="18" fillId="0" borderId="37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18" fillId="0" borderId="15" xfId="0" applyFont="1" applyBorder="1" applyAlignment="1">
      <alignment/>
    </xf>
    <xf numFmtId="0" fontId="5" fillId="0" borderId="38" xfId="0" applyFont="1" applyBorder="1" applyAlignment="1">
      <alignment vertical="center"/>
    </xf>
    <xf numFmtId="4" fontId="5" fillId="32" borderId="16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7" fillId="32" borderId="0" xfId="0" applyFont="1" applyFill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0" fontId="28" fillId="0" borderId="25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18" fillId="32" borderId="26" xfId="0" applyFont="1" applyFill="1" applyBorder="1" applyAlignment="1">
      <alignment/>
    </xf>
    <xf numFmtId="0" fontId="18" fillId="0" borderId="23" xfId="0" applyFont="1" applyBorder="1" applyAlignment="1">
      <alignment horizontal="center"/>
    </xf>
    <xf numFmtId="0" fontId="18" fillId="0" borderId="37" xfId="0" applyFont="1" applyBorder="1" applyAlignment="1">
      <alignment/>
    </xf>
    <xf numFmtId="4" fontId="18" fillId="32" borderId="33" xfId="0" applyNumberFormat="1" applyFont="1" applyFill="1" applyBorder="1" applyAlignment="1">
      <alignment/>
    </xf>
    <xf numFmtId="0" fontId="5" fillId="0" borderId="37" xfId="0" applyFont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18" fillId="32" borderId="17" xfId="0" applyFont="1" applyFill="1" applyBorder="1" applyAlignment="1">
      <alignment/>
    </xf>
    <xf numFmtId="0" fontId="18" fillId="0" borderId="22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35" xfId="0" applyFont="1" applyBorder="1" applyAlignment="1">
      <alignment horizontal="left" vertical="center"/>
    </xf>
    <xf numFmtId="0" fontId="18" fillId="0" borderId="27" xfId="0" applyFont="1" applyBorder="1" applyAlignment="1">
      <alignment horizontal="left"/>
    </xf>
    <xf numFmtId="4" fontId="18" fillId="32" borderId="26" xfId="0" applyNumberFormat="1" applyFont="1" applyFill="1" applyBorder="1" applyAlignment="1">
      <alignment/>
    </xf>
    <xf numFmtId="0" fontId="18" fillId="0" borderId="39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18" fillId="0" borderId="39" xfId="0" applyFont="1" applyBorder="1" applyAlignment="1">
      <alignment/>
    </xf>
    <xf numFmtId="4" fontId="5" fillId="32" borderId="14" xfId="0" applyNumberFormat="1" applyFont="1" applyFill="1" applyBorder="1" applyAlignment="1">
      <alignment vertical="center" wrapText="1"/>
    </xf>
    <xf numFmtId="0" fontId="18" fillId="0" borderId="37" xfId="0" applyFont="1" applyBorder="1" applyAlignment="1">
      <alignment wrapText="1"/>
    </xf>
    <xf numFmtId="0" fontId="18" fillId="0" borderId="35" xfId="0" applyFont="1" applyBorder="1" applyAlignment="1">
      <alignment wrapText="1"/>
    </xf>
    <xf numFmtId="4" fontId="18" fillId="32" borderId="17" xfId="0" applyNumberFormat="1" applyFont="1" applyFill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vertical="center" wrapText="1"/>
    </xf>
    <xf numFmtId="4" fontId="18" fillId="32" borderId="16" xfId="0" applyNumberFormat="1" applyFont="1" applyFill="1" applyBorder="1" applyAlignment="1">
      <alignment vertical="center"/>
    </xf>
    <xf numFmtId="0" fontId="0" fillId="0" borderId="27" xfId="0" applyFont="1" applyBorder="1" applyAlignment="1">
      <alignment/>
    </xf>
    <xf numFmtId="0" fontId="5" fillId="0" borderId="40" xfId="0" applyFont="1" applyBorder="1" applyAlignment="1">
      <alignment vertical="center"/>
    </xf>
    <xf numFmtId="4" fontId="5" fillId="32" borderId="22" xfId="0" applyNumberFormat="1" applyFont="1" applyFill="1" applyBorder="1" applyAlignment="1">
      <alignment vertical="center" wrapText="1"/>
    </xf>
    <xf numFmtId="0" fontId="18" fillId="0" borderId="39" xfId="0" applyFont="1" applyBorder="1" applyAlignment="1">
      <alignment wrapText="1"/>
    </xf>
    <xf numFmtId="4" fontId="18" fillId="32" borderId="14" xfId="0" applyNumberFormat="1" applyFont="1" applyFill="1" applyBorder="1" applyAlignment="1">
      <alignment/>
    </xf>
    <xf numFmtId="0" fontId="5" fillId="0" borderId="24" xfId="0" applyFont="1" applyBorder="1" applyAlignment="1">
      <alignment vertical="center"/>
    </xf>
    <xf numFmtId="0" fontId="18" fillId="0" borderId="39" xfId="0" applyFont="1" applyBorder="1" applyAlignment="1">
      <alignment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27" xfId="0" applyFont="1" applyBorder="1" applyAlignment="1">
      <alignment vertical="center" wrapText="1"/>
    </xf>
    <xf numFmtId="0" fontId="5" fillId="0" borderId="24" xfId="0" applyFont="1" applyBorder="1" applyAlignment="1">
      <alignment horizontal="left" vertical="center"/>
    </xf>
    <xf numFmtId="0" fontId="18" fillId="0" borderId="39" xfId="0" applyFont="1" applyBorder="1" applyAlignment="1">
      <alignment horizontal="left" wrapText="1"/>
    </xf>
    <xf numFmtId="0" fontId="18" fillId="0" borderId="41" xfId="0" applyFont="1" applyBorder="1" applyAlignment="1">
      <alignment/>
    </xf>
    <xf numFmtId="0" fontId="18" fillId="0" borderId="41" xfId="0" applyFont="1" applyBorder="1" applyAlignment="1">
      <alignment wrapText="1"/>
    </xf>
    <xf numFmtId="0" fontId="18" fillId="0" borderId="41" xfId="0" applyFont="1" applyBorder="1" applyAlignment="1">
      <alignment vertical="center" wrapText="1"/>
    </xf>
    <xf numFmtId="0" fontId="18" fillId="0" borderId="14" xfId="0" applyFont="1" applyBorder="1" applyAlignment="1">
      <alignment wrapText="1"/>
    </xf>
    <xf numFmtId="0" fontId="18" fillId="0" borderId="0" xfId="0" applyFont="1" applyAlignment="1">
      <alignment wrapText="1"/>
    </xf>
    <xf numFmtId="0" fontId="29" fillId="0" borderId="14" xfId="0" applyFont="1" applyBorder="1" applyAlignment="1">
      <alignment vertical="center" wrapText="1"/>
    </xf>
    <xf numFmtId="0" fontId="5" fillId="0" borderId="42" xfId="0" applyFont="1" applyBorder="1" applyAlignment="1">
      <alignment horizontal="left" vertical="center"/>
    </xf>
    <xf numFmtId="0" fontId="27" fillId="0" borderId="20" xfId="0" applyFont="1" applyBorder="1" applyAlignment="1">
      <alignment/>
    </xf>
    <xf numFmtId="0" fontId="27" fillId="32" borderId="20" xfId="0" applyFont="1" applyFill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4" fontId="5" fillId="32" borderId="28" xfId="0" applyNumberFormat="1" applyFont="1" applyFill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4" fontId="18" fillId="32" borderId="24" xfId="0" applyNumberFormat="1" applyFont="1" applyFill="1" applyBorder="1" applyAlignment="1">
      <alignment/>
    </xf>
    <xf numFmtId="0" fontId="18" fillId="0" borderId="27" xfId="0" applyFont="1" applyBorder="1" applyAlignment="1">
      <alignment/>
    </xf>
    <xf numFmtId="4" fontId="5" fillId="32" borderId="14" xfId="0" applyNumberFormat="1" applyFont="1" applyFill="1" applyBorder="1" applyAlignment="1">
      <alignment/>
    </xf>
    <xf numFmtId="0" fontId="29" fillId="0" borderId="14" xfId="0" applyFont="1" applyBorder="1" applyAlignment="1">
      <alignment horizontal="left" wrapText="1"/>
    </xf>
    <xf numFmtId="0" fontId="5" fillId="0" borderId="21" xfId="0" applyFont="1" applyBorder="1" applyAlignment="1">
      <alignment vertical="center"/>
    </xf>
    <xf numFmtId="0" fontId="28" fillId="0" borderId="41" xfId="0" applyFont="1" applyBorder="1" applyAlignment="1">
      <alignment horizontal="center" vertical="center"/>
    </xf>
    <xf numFmtId="4" fontId="18" fillId="32" borderId="17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13" xfId="0" applyFont="1" applyBorder="1" applyAlignment="1">
      <alignment horizontal="center" vertical="center"/>
    </xf>
    <xf numFmtId="4" fontId="5" fillId="32" borderId="26" xfId="0" applyNumberFormat="1" applyFont="1" applyFill="1" applyBorder="1" applyAlignment="1">
      <alignment/>
    </xf>
    <xf numFmtId="0" fontId="5" fillId="0" borderId="22" xfId="0" applyFont="1" applyBorder="1" applyAlignment="1">
      <alignment horizontal="left" vertical="center"/>
    </xf>
    <xf numFmtId="0" fontId="29" fillId="0" borderId="22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31" fillId="0" borderId="24" xfId="0" applyFont="1" applyBorder="1" applyAlignment="1">
      <alignment vertical="center" wrapText="1"/>
    </xf>
    <xf numFmtId="0" fontId="29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/>
    </xf>
    <xf numFmtId="0" fontId="5" fillId="0" borderId="43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5" fillId="0" borderId="40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4" fontId="18" fillId="32" borderId="22" xfId="0" applyNumberFormat="1" applyFont="1" applyFill="1" applyBorder="1" applyAlignment="1">
      <alignment vertical="center" wrapText="1"/>
    </xf>
    <xf numFmtId="0" fontId="0" fillId="32" borderId="0" xfId="0" applyFont="1" applyFill="1" applyAlignment="1">
      <alignment/>
    </xf>
    <xf numFmtId="4" fontId="18" fillId="32" borderId="22" xfId="0" applyNumberFormat="1" applyFont="1" applyFill="1" applyBorder="1" applyAlignment="1">
      <alignment/>
    </xf>
    <xf numFmtId="0" fontId="5" fillId="0" borderId="24" xfId="0" applyFont="1" applyBorder="1" applyAlignment="1">
      <alignment vertical="center" wrapText="1"/>
    </xf>
    <xf numFmtId="0" fontId="18" fillId="0" borderId="39" xfId="0" applyFont="1" applyBorder="1" applyAlignment="1">
      <alignment horizontal="left"/>
    </xf>
    <xf numFmtId="0" fontId="18" fillId="0" borderId="13" xfId="0" applyFont="1" applyBorder="1" applyAlignment="1">
      <alignment/>
    </xf>
    <xf numFmtId="0" fontId="18" fillId="0" borderId="21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4" fontId="5" fillId="32" borderId="3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32" fillId="33" borderId="0" xfId="0" applyFont="1" applyFill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13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32" fillId="0" borderId="0" xfId="0" applyFont="1" applyAlignment="1">
      <alignment/>
    </xf>
    <xf numFmtId="0" fontId="34" fillId="33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35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/>
    </xf>
    <xf numFmtId="0" fontId="25" fillId="33" borderId="0" xfId="0" applyFont="1" applyFill="1" applyAlignment="1">
      <alignment vertical="top" wrapText="1"/>
    </xf>
    <xf numFmtId="0" fontId="33" fillId="0" borderId="0" xfId="0" applyFont="1" applyAlignment="1">
      <alignment horizontal="center"/>
    </xf>
    <xf numFmtId="0" fontId="27" fillId="33" borderId="0" xfId="0" applyFont="1" applyFill="1" applyAlignment="1">
      <alignment vertical="center" wrapText="1"/>
    </xf>
    <xf numFmtId="0" fontId="27" fillId="0" borderId="0" xfId="0" applyFont="1" applyAlignment="1">
      <alignment vertical="center" wrapText="1"/>
    </xf>
    <xf numFmtId="0" fontId="32" fillId="33" borderId="0" xfId="0" applyFont="1" applyFill="1" applyAlignment="1">
      <alignment vertical="center" wrapText="1"/>
    </xf>
    <xf numFmtId="0" fontId="27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8" fillId="0" borderId="0" xfId="0" applyFont="1" applyAlignment="1">
      <alignment/>
    </xf>
    <xf numFmtId="0" fontId="14" fillId="0" borderId="11" xfId="0" applyFont="1" applyBorder="1" applyAlignment="1">
      <alignment horizontal="center" vertical="center" textRotation="90"/>
    </xf>
    <xf numFmtId="0" fontId="14" fillId="0" borderId="12" xfId="0" applyFont="1" applyBorder="1" applyAlignment="1">
      <alignment horizontal="center" vertical="center" textRotation="90"/>
    </xf>
    <xf numFmtId="0" fontId="14" fillId="0" borderId="12" xfId="0" applyFont="1" applyBorder="1" applyAlignment="1">
      <alignment horizontal="center" vertical="center" textRotation="90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32" borderId="12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16" fillId="0" borderId="18" xfId="0" applyNumberFormat="1" applyFont="1" applyBorder="1" applyAlignment="1">
      <alignment vertical="center"/>
    </xf>
    <xf numFmtId="49" fontId="16" fillId="0" borderId="17" xfId="0" applyNumberFormat="1" applyFont="1" applyBorder="1" applyAlignment="1">
      <alignment/>
    </xf>
    <xf numFmtId="0" fontId="16" fillId="33" borderId="17" xfId="0" applyFont="1" applyFill="1" applyBorder="1" applyAlignment="1">
      <alignment/>
    </xf>
    <xf numFmtId="0" fontId="40" fillId="0" borderId="17" xfId="0" applyFont="1" applyBorder="1" applyAlignment="1">
      <alignment vertical="center"/>
    </xf>
    <xf numFmtId="0" fontId="16" fillId="32" borderId="21" xfId="0" applyFont="1" applyFill="1" applyBorder="1" applyAlignment="1">
      <alignment/>
    </xf>
    <xf numFmtId="0" fontId="33" fillId="0" borderId="41" xfId="0" applyFont="1" applyBorder="1" applyAlignment="1">
      <alignment/>
    </xf>
    <xf numFmtId="49" fontId="16" fillId="0" borderId="25" xfId="0" applyNumberFormat="1" applyFont="1" applyBorder="1" applyAlignment="1">
      <alignment vertical="center"/>
    </xf>
    <xf numFmtId="49" fontId="16" fillId="0" borderId="26" xfId="0" applyNumberFormat="1" applyFont="1" applyBorder="1" applyAlignment="1">
      <alignment vertical="center"/>
    </xf>
    <xf numFmtId="0" fontId="40" fillId="33" borderId="33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/>
    </xf>
    <xf numFmtId="0" fontId="40" fillId="0" borderId="26" xfId="0" applyFont="1" applyBorder="1" applyAlignment="1">
      <alignment vertical="center"/>
    </xf>
    <xf numFmtId="0" fontId="16" fillId="32" borderId="28" xfId="0" applyFont="1" applyFill="1" applyBorder="1" applyAlignment="1">
      <alignment/>
    </xf>
    <xf numFmtId="0" fontId="33" fillId="0" borderId="27" xfId="0" applyFont="1" applyBorder="1" applyAlignment="1">
      <alignment/>
    </xf>
    <xf numFmtId="49" fontId="16" fillId="0" borderId="25" xfId="0" applyNumberFormat="1" applyFont="1" applyBorder="1" applyAlignment="1">
      <alignment/>
    </xf>
    <xf numFmtId="49" fontId="16" fillId="0" borderId="26" xfId="0" applyNumberFormat="1" applyFont="1" applyBorder="1" applyAlignment="1">
      <alignment/>
    </xf>
    <xf numFmtId="0" fontId="40" fillId="33" borderId="33" xfId="0" applyFont="1" applyFill="1" applyBorder="1" applyAlignment="1">
      <alignment horizontal="center"/>
    </xf>
    <xf numFmtId="0" fontId="41" fillId="0" borderId="26" xfId="0" applyFont="1" applyBorder="1" applyAlignment="1">
      <alignment horizontal="left"/>
    </xf>
    <xf numFmtId="49" fontId="16" fillId="0" borderId="23" xfId="0" applyNumberFormat="1" applyFont="1" applyBorder="1" applyAlignment="1">
      <alignment horizontal="center"/>
    </xf>
    <xf numFmtId="49" fontId="16" fillId="0" borderId="22" xfId="0" applyNumberFormat="1" applyFont="1" applyBorder="1" applyAlignment="1">
      <alignment horizontal="center"/>
    </xf>
    <xf numFmtId="49" fontId="16" fillId="0" borderId="40" xfId="0" applyNumberFormat="1" applyFont="1" applyBorder="1" applyAlignment="1">
      <alignment horizontal="center"/>
    </xf>
    <xf numFmtId="0" fontId="16" fillId="33" borderId="22" xfId="0" applyFont="1" applyFill="1" applyBorder="1" applyAlignment="1">
      <alignment horizontal="center"/>
    </xf>
    <xf numFmtId="0" fontId="42" fillId="33" borderId="37" xfId="0" applyFont="1" applyFill="1" applyBorder="1" applyAlignment="1">
      <alignment horizontal="center"/>
    </xf>
    <xf numFmtId="0" fontId="42" fillId="0" borderId="22" xfId="0" applyFont="1" applyBorder="1" applyAlignment="1">
      <alignment horizontal="left"/>
    </xf>
    <xf numFmtId="0" fontId="16" fillId="33" borderId="14" xfId="0" applyFont="1" applyFill="1" applyBorder="1" applyAlignment="1">
      <alignment horizontal="center"/>
    </xf>
    <xf numFmtId="0" fontId="42" fillId="33" borderId="35" xfId="0" applyFont="1" applyFill="1" applyBorder="1" applyAlignment="1">
      <alignment horizontal="center"/>
    </xf>
    <xf numFmtId="0" fontId="42" fillId="0" borderId="14" xfId="0" applyFont="1" applyBorder="1" applyAlignment="1">
      <alignment horizontal="left"/>
    </xf>
    <xf numFmtId="49" fontId="16" fillId="0" borderId="23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0" fontId="42" fillId="33" borderId="35" xfId="0" applyFont="1" applyFill="1" applyBorder="1" applyAlignment="1">
      <alignment horizontal="center" vertical="center"/>
    </xf>
    <xf numFmtId="0" fontId="42" fillId="0" borderId="14" xfId="0" applyFont="1" applyBorder="1" applyAlignment="1">
      <alignment/>
    </xf>
    <xf numFmtId="49" fontId="16" fillId="0" borderId="25" xfId="0" applyNumberFormat="1" applyFont="1" applyBorder="1" applyAlignment="1">
      <alignment horizontal="center"/>
    </xf>
    <xf numFmtId="0" fontId="42" fillId="33" borderId="36" xfId="0" applyFont="1" applyFill="1" applyBorder="1" applyAlignment="1">
      <alignment horizontal="center"/>
    </xf>
    <xf numFmtId="49" fontId="16" fillId="0" borderId="18" xfId="0" applyNumberFormat="1" applyFont="1" applyBorder="1" applyAlignment="1">
      <alignment horizontal="center"/>
    </xf>
    <xf numFmtId="49" fontId="16" fillId="0" borderId="17" xfId="0" applyNumberFormat="1" applyFont="1" applyBorder="1" applyAlignment="1">
      <alignment horizontal="center"/>
    </xf>
    <xf numFmtId="49" fontId="16" fillId="0" borderId="21" xfId="0" applyNumberFormat="1" applyFont="1" applyBorder="1" applyAlignment="1">
      <alignment horizontal="center"/>
    </xf>
    <xf numFmtId="0" fontId="15" fillId="33" borderId="17" xfId="0" applyFont="1" applyFill="1" applyBorder="1" applyAlignment="1">
      <alignment horizontal="center" vertical="center"/>
    </xf>
    <xf numFmtId="0" fontId="40" fillId="33" borderId="36" xfId="0" applyFont="1" applyFill="1" applyBorder="1" applyAlignment="1">
      <alignment horizontal="center"/>
    </xf>
    <xf numFmtId="0" fontId="41" fillId="0" borderId="17" xfId="0" applyFont="1" applyBorder="1" applyAlignment="1">
      <alignment horizontal="left" wrapText="1"/>
    </xf>
    <xf numFmtId="0" fontId="42" fillId="0" borderId="22" xfId="0" applyFont="1" applyBorder="1" applyAlignment="1">
      <alignment wrapText="1"/>
    </xf>
    <xf numFmtId="49" fontId="16" fillId="0" borderId="15" xfId="0" applyNumberFormat="1" applyFont="1" applyBorder="1" applyAlignment="1">
      <alignment/>
    </xf>
    <xf numFmtId="49" fontId="16" fillId="0" borderId="16" xfId="0" applyNumberFormat="1" applyFont="1" applyBorder="1" applyAlignment="1">
      <alignment/>
    </xf>
    <xf numFmtId="0" fontId="16" fillId="33" borderId="16" xfId="0" applyFont="1" applyFill="1" applyBorder="1" applyAlignment="1">
      <alignment/>
    </xf>
    <xf numFmtId="0" fontId="40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9" fontId="16" fillId="0" borderId="18" xfId="0" applyNumberFormat="1" applyFont="1" applyBorder="1" applyAlignment="1">
      <alignment/>
    </xf>
    <xf numFmtId="0" fontId="40" fillId="0" borderId="26" xfId="0" applyFont="1" applyBorder="1" applyAlignment="1">
      <alignment horizontal="left" vertical="center" wrapText="1"/>
    </xf>
    <xf numFmtId="0" fontId="42" fillId="33" borderId="22" xfId="0" applyFont="1" applyFill="1" applyBorder="1" applyAlignment="1">
      <alignment horizontal="center"/>
    </xf>
    <xf numFmtId="0" fontId="42" fillId="0" borderId="22" xfId="0" applyFont="1" applyBorder="1" applyAlignment="1">
      <alignment/>
    </xf>
    <xf numFmtId="0" fontId="42" fillId="33" borderId="14" xfId="0" applyFont="1" applyFill="1" applyBorder="1" applyAlignment="1">
      <alignment horizontal="center"/>
    </xf>
    <xf numFmtId="0" fontId="42" fillId="32" borderId="35" xfId="0" applyFont="1" applyFill="1" applyBorder="1" applyAlignment="1">
      <alignment horizontal="center"/>
    </xf>
    <xf numFmtId="0" fontId="42" fillId="32" borderId="14" xfId="0" applyFont="1" applyFill="1" applyBorder="1" applyAlignment="1">
      <alignment horizontal="left"/>
    </xf>
    <xf numFmtId="0" fontId="42" fillId="33" borderId="14" xfId="0" applyFont="1" applyFill="1" applyBorder="1" applyAlignment="1">
      <alignment horizontal="center" vertical="center"/>
    </xf>
    <xf numFmtId="0" fontId="42" fillId="0" borderId="22" xfId="0" applyFont="1" applyBorder="1" applyAlignment="1">
      <alignment vertical="center" wrapText="1"/>
    </xf>
    <xf numFmtId="0" fontId="42" fillId="0" borderId="35" xfId="0" applyFont="1" applyBorder="1" applyAlignment="1">
      <alignment/>
    </xf>
    <xf numFmtId="0" fontId="16" fillId="0" borderId="45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35" xfId="0" applyFont="1" applyBorder="1" applyAlignment="1">
      <alignment/>
    </xf>
    <xf numFmtId="0" fontId="16" fillId="33" borderId="14" xfId="0" applyFont="1" applyFill="1" applyBorder="1" applyAlignment="1">
      <alignment/>
    </xf>
    <xf numFmtId="0" fontId="40" fillId="0" borderId="14" xfId="0" applyFont="1" applyBorder="1" applyAlignment="1">
      <alignment vertical="center" wrapText="1"/>
    </xf>
    <xf numFmtId="0" fontId="16" fillId="0" borderId="46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47" xfId="0" applyFont="1" applyBorder="1" applyAlignment="1">
      <alignment/>
    </xf>
    <xf numFmtId="0" fontId="16" fillId="33" borderId="19" xfId="0" applyFont="1" applyFill="1" applyBorder="1" applyAlignment="1">
      <alignment/>
    </xf>
    <xf numFmtId="0" fontId="40" fillId="0" borderId="19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16" fillId="33" borderId="0" xfId="0" applyFont="1" applyFill="1" applyAlignment="1">
      <alignment/>
    </xf>
    <xf numFmtId="0" fontId="40" fillId="0" borderId="0" xfId="0" applyFont="1" applyAlignment="1">
      <alignment horizontal="left" vertical="center"/>
    </xf>
    <xf numFmtId="4" fontId="15" fillId="32" borderId="0" xfId="0" applyNumberFormat="1" applyFont="1" applyFill="1" applyAlignment="1">
      <alignment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43" fillId="0" borderId="17" xfId="0" applyNumberFormat="1" applyFont="1" applyBorder="1" applyAlignment="1">
      <alignment/>
    </xf>
    <xf numFmtId="0" fontId="43" fillId="33" borderId="17" xfId="0" applyFont="1" applyFill="1" applyBorder="1" applyAlignment="1">
      <alignment/>
    </xf>
    <xf numFmtId="0" fontId="40" fillId="0" borderId="36" xfId="0" applyFont="1" applyBorder="1" applyAlignment="1">
      <alignment vertical="center" wrapText="1"/>
    </xf>
    <xf numFmtId="49" fontId="16" fillId="0" borderId="25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43" fillId="0" borderId="26" xfId="0" applyNumberFormat="1" applyFont="1" applyBorder="1" applyAlignment="1">
      <alignment/>
    </xf>
    <xf numFmtId="0" fontId="43" fillId="33" borderId="26" xfId="0" applyFont="1" applyFill="1" applyBorder="1" applyAlignment="1">
      <alignment/>
    </xf>
    <xf numFmtId="0" fontId="40" fillId="0" borderId="26" xfId="0" applyFont="1" applyBorder="1" applyAlignment="1">
      <alignment vertical="center" wrapText="1"/>
    </xf>
    <xf numFmtId="49" fontId="43" fillId="0" borderId="25" xfId="0" applyNumberFormat="1" applyFont="1" applyBorder="1" applyAlignment="1">
      <alignment/>
    </xf>
    <xf numFmtId="0" fontId="41" fillId="33" borderId="33" xfId="0" applyFont="1" applyFill="1" applyBorder="1" applyAlignment="1">
      <alignment horizontal="center" vertical="center"/>
    </xf>
    <xf numFmtId="0" fontId="41" fillId="0" borderId="33" xfId="0" applyFont="1" applyBorder="1" applyAlignment="1">
      <alignment horizontal="left"/>
    </xf>
    <xf numFmtId="0" fontId="42" fillId="0" borderId="35" xfId="0" applyFont="1" applyBorder="1" applyAlignment="1">
      <alignment wrapText="1"/>
    </xf>
    <xf numFmtId="0" fontId="42" fillId="33" borderId="17" xfId="0" applyFont="1" applyFill="1" applyBorder="1" applyAlignment="1">
      <alignment horizontal="center" vertical="center"/>
    </xf>
    <xf numFmtId="0" fontId="42" fillId="33" borderId="36" xfId="0" applyFont="1" applyFill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0" fontId="42" fillId="33" borderId="33" xfId="0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vertical="center" wrapText="1"/>
    </xf>
    <xf numFmtId="0" fontId="42" fillId="0" borderId="17" xfId="0" applyFont="1" applyBorder="1" applyAlignment="1">
      <alignment vertical="center" wrapText="1"/>
    </xf>
    <xf numFmtId="0" fontId="42" fillId="32" borderId="14" xfId="0" applyFont="1" applyFill="1" applyBorder="1" applyAlignment="1">
      <alignment horizontal="center" vertical="center"/>
    </xf>
    <xf numFmtId="0" fontId="42" fillId="32" borderId="36" xfId="0" applyFont="1" applyFill="1" applyBorder="1" applyAlignment="1">
      <alignment horizontal="center" vertical="center"/>
    </xf>
    <xf numFmtId="0" fontId="42" fillId="32" borderId="17" xfId="0" applyFont="1" applyFill="1" applyBorder="1" applyAlignment="1">
      <alignment vertical="center" wrapText="1"/>
    </xf>
    <xf numFmtId="49" fontId="43" fillId="0" borderId="18" xfId="0" applyNumberFormat="1" applyFont="1" applyBorder="1" applyAlignment="1">
      <alignment horizontal="center"/>
    </xf>
    <xf numFmtId="49" fontId="43" fillId="0" borderId="17" xfId="0" applyNumberFormat="1" applyFont="1" applyBorder="1" applyAlignment="1">
      <alignment horizontal="center"/>
    </xf>
    <xf numFmtId="49" fontId="43" fillId="0" borderId="21" xfId="0" applyNumberFormat="1" applyFont="1" applyBorder="1" applyAlignment="1">
      <alignment horizontal="center"/>
    </xf>
    <xf numFmtId="0" fontId="41" fillId="33" borderId="17" xfId="0" applyFont="1" applyFill="1" applyBorder="1" applyAlignment="1">
      <alignment horizontal="center" vertical="center"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33" borderId="16" xfId="0" applyFont="1" applyFill="1" applyBorder="1" applyAlignment="1">
      <alignment/>
    </xf>
    <xf numFmtId="0" fontId="40" fillId="0" borderId="16" xfId="0" applyFont="1" applyBorder="1" applyAlignment="1">
      <alignment vertical="center" wrapText="1"/>
    </xf>
    <xf numFmtId="0" fontId="43" fillId="0" borderId="25" xfId="0" applyFont="1" applyBorder="1" applyAlignment="1">
      <alignment/>
    </xf>
    <xf numFmtId="0" fontId="43" fillId="0" borderId="26" xfId="0" applyFont="1" applyBorder="1" applyAlignment="1">
      <alignment/>
    </xf>
    <xf numFmtId="0" fontId="40" fillId="0" borderId="48" xfId="0" applyFont="1" applyBorder="1" applyAlignment="1">
      <alignment vertical="center" wrapText="1"/>
    </xf>
    <xf numFmtId="0" fontId="33" fillId="0" borderId="20" xfId="0" applyFont="1" applyBorder="1" applyAlignment="1">
      <alignment/>
    </xf>
    <xf numFmtId="0" fontId="43" fillId="0" borderId="30" xfId="0" applyFont="1" applyBorder="1" applyAlignment="1">
      <alignment/>
    </xf>
    <xf numFmtId="0" fontId="43" fillId="0" borderId="19" xfId="0" applyFont="1" applyBorder="1" applyAlignment="1">
      <alignment/>
    </xf>
    <xf numFmtId="0" fontId="43" fillId="33" borderId="19" xfId="0" applyFont="1" applyFill="1" applyBorder="1" applyAlignment="1">
      <alignment/>
    </xf>
    <xf numFmtId="0" fontId="14" fillId="0" borderId="29" xfId="0" applyFont="1" applyBorder="1" applyAlignment="1">
      <alignment horizontal="center" vertical="center" textRotation="90"/>
    </xf>
    <xf numFmtId="0" fontId="14" fillId="0" borderId="31" xfId="0" applyFont="1" applyBorder="1" applyAlignment="1">
      <alignment horizontal="center" vertical="center" textRotation="90"/>
    </xf>
    <xf numFmtId="0" fontId="14" fillId="33" borderId="31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33" fillId="0" borderId="49" xfId="0" applyFont="1" applyBorder="1" applyAlignment="1">
      <alignment/>
    </xf>
    <xf numFmtId="0" fontId="14" fillId="33" borderId="26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40" fillId="33" borderId="36" xfId="0" applyFont="1" applyFill="1" applyBorder="1" applyAlignment="1">
      <alignment horizontal="justify" vertical="top" wrapText="1"/>
    </xf>
    <xf numFmtId="0" fontId="40" fillId="33" borderId="33" xfId="0" applyFont="1" applyFill="1" applyBorder="1" applyAlignment="1">
      <alignment horizontal="center" vertical="top" wrapText="1"/>
    </xf>
    <xf numFmtId="49" fontId="16" fillId="0" borderId="28" xfId="0" applyNumberFormat="1" applyFont="1" applyBorder="1" applyAlignment="1">
      <alignment horizontal="center" vertical="center"/>
    </xf>
    <xf numFmtId="0" fontId="40" fillId="33" borderId="33" xfId="0" applyFont="1" applyFill="1" applyBorder="1" applyAlignment="1">
      <alignment horizontal="center" wrapText="1"/>
    </xf>
    <xf numFmtId="0" fontId="41" fillId="0" borderId="26" xfId="0" applyFont="1" applyBorder="1" applyAlignment="1">
      <alignment wrapText="1"/>
    </xf>
    <xf numFmtId="49" fontId="16" fillId="0" borderId="26" xfId="0" applyNumberFormat="1" applyFont="1" applyBorder="1" applyAlignment="1">
      <alignment horizontal="center"/>
    </xf>
    <xf numFmtId="49" fontId="16" fillId="0" borderId="28" xfId="0" applyNumberFormat="1" applyFont="1" applyBorder="1" applyAlignment="1">
      <alignment horizontal="center"/>
    </xf>
    <xf numFmtId="0" fontId="16" fillId="33" borderId="22" xfId="0" applyFont="1" applyFill="1" applyBorder="1" applyAlignment="1">
      <alignment horizontal="center" wrapText="1"/>
    </xf>
    <xf numFmtId="0" fontId="42" fillId="33" borderId="37" xfId="0" applyFont="1" applyFill="1" applyBorder="1" applyAlignment="1">
      <alignment horizontal="center" wrapText="1"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33" borderId="16" xfId="0" applyFont="1" applyFill="1" applyBorder="1" applyAlignment="1">
      <alignment horizontal="center" wrapText="1"/>
    </xf>
    <xf numFmtId="0" fontId="42" fillId="33" borderId="38" xfId="0" applyFont="1" applyFill="1" applyBorder="1" applyAlignment="1">
      <alignment horizontal="center" wrapText="1"/>
    </xf>
    <xf numFmtId="0" fontId="16" fillId="33" borderId="26" xfId="0" applyFont="1" applyFill="1" applyBorder="1" applyAlignment="1">
      <alignment horizontal="center" wrapText="1"/>
    </xf>
    <xf numFmtId="0" fontId="42" fillId="33" borderId="33" xfId="0" applyFont="1" applyFill="1" applyBorder="1" applyAlignment="1">
      <alignment horizontal="center" wrapText="1"/>
    </xf>
    <xf numFmtId="0" fontId="42" fillId="0" borderId="26" xfId="0" applyFont="1" applyBorder="1" applyAlignment="1">
      <alignment wrapText="1"/>
    </xf>
    <xf numFmtId="49" fontId="16" fillId="0" borderId="13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16" fillId="0" borderId="24" xfId="0" applyNumberFormat="1" applyFont="1" applyBorder="1" applyAlignment="1">
      <alignment horizontal="center"/>
    </xf>
    <xf numFmtId="0" fontId="16" fillId="33" borderId="14" xfId="0" applyFont="1" applyFill="1" applyBorder="1" applyAlignment="1">
      <alignment horizontal="center" wrapText="1"/>
    </xf>
    <xf numFmtId="0" fontId="42" fillId="33" borderId="35" xfId="0" applyFont="1" applyFill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31" xfId="0" applyFont="1" applyBorder="1" applyAlignment="1">
      <alignment/>
    </xf>
    <xf numFmtId="0" fontId="16" fillId="33" borderId="31" xfId="0" applyFont="1" applyFill="1" applyBorder="1" applyAlignment="1">
      <alignment/>
    </xf>
    <xf numFmtId="0" fontId="42" fillId="33" borderId="31" xfId="0" applyFont="1" applyFill="1" applyBorder="1" applyAlignment="1">
      <alignment horizontal="center" vertical="center" wrapText="1"/>
    </xf>
    <xf numFmtId="0" fontId="40" fillId="0" borderId="31" xfId="0" applyFont="1" applyBorder="1" applyAlignment="1">
      <alignment vertical="center" wrapText="1"/>
    </xf>
    <xf numFmtId="0" fontId="40" fillId="0" borderId="33" xfId="0" applyFont="1" applyBorder="1" applyAlignment="1">
      <alignment horizontal="left" vertical="center"/>
    </xf>
    <xf numFmtId="49" fontId="16" fillId="0" borderId="15" xfId="0" applyNumberFormat="1" applyFont="1" applyBorder="1" applyAlignment="1">
      <alignment vertical="center"/>
    </xf>
    <xf numFmtId="49" fontId="16" fillId="0" borderId="16" xfId="0" applyNumberFormat="1" applyFont="1" applyBorder="1" applyAlignment="1">
      <alignment vertical="center"/>
    </xf>
    <xf numFmtId="0" fontId="40" fillId="0" borderId="38" xfId="0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vertical="center"/>
    </xf>
    <xf numFmtId="49" fontId="16" fillId="0" borderId="22" xfId="0" applyNumberFormat="1" applyFont="1" applyBorder="1" applyAlignment="1">
      <alignment vertical="center"/>
    </xf>
    <xf numFmtId="0" fontId="16" fillId="32" borderId="22" xfId="0" applyFont="1" applyFill="1" applyBorder="1" applyAlignment="1">
      <alignment/>
    </xf>
    <xf numFmtId="0" fontId="40" fillId="0" borderId="17" xfId="0" applyFont="1" applyBorder="1" applyAlignment="1">
      <alignment vertical="center" wrapText="1"/>
    </xf>
    <xf numFmtId="0" fontId="42" fillId="0" borderId="17" xfId="0" applyFont="1" applyBorder="1" applyAlignment="1">
      <alignment horizontal="center" vertical="center"/>
    </xf>
    <xf numFmtId="0" fontId="42" fillId="32" borderId="17" xfId="0" applyFont="1" applyFill="1" applyBorder="1" applyAlignment="1">
      <alignment horizontal="center" vertical="center"/>
    </xf>
    <xf numFmtId="0" fontId="42" fillId="32" borderId="14" xfId="0" applyFont="1" applyFill="1" applyBorder="1" applyAlignment="1">
      <alignment vertical="center" wrapText="1"/>
    </xf>
    <xf numFmtId="49" fontId="16" fillId="32" borderId="23" xfId="0" applyNumberFormat="1" applyFont="1" applyFill="1" applyBorder="1" applyAlignment="1">
      <alignment horizontal="center" vertical="center"/>
    </xf>
    <xf numFmtId="49" fontId="16" fillId="32" borderId="22" xfId="0" applyNumberFormat="1" applyFont="1" applyFill="1" applyBorder="1" applyAlignment="1">
      <alignment horizontal="center" vertical="center"/>
    </xf>
    <xf numFmtId="49" fontId="16" fillId="32" borderId="40" xfId="0" applyNumberFormat="1" applyFont="1" applyFill="1" applyBorder="1" applyAlignment="1">
      <alignment horizontal="center" vertical="center"/>
    </xf>
    <xf numFmtId="0" fontId="42" fillId="32" borderId="14" xfId="0" applyFont="1" applyFill="1" applyBorder="1" applyAlignment="1">
      <alignment horizontal="left" vertical="center" wrapText="1"/>
    </xf>
    <xf numFmtId="49" fontId="16" fillId="0" borderId="15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49" fontId="16" fillId="0" borderId="43" xfId="0" applyNumberFormat="1" applyFont="1" applyBorder="1" applyAlignment="1">
      <alignment horizontal="center"/>
    </xf>
    <xf numFmtId="0" fontId="33" fillId="0" borderId="0" xfId="0" applyFont="1" applyAlignment="1">
      <alignment vertical="center"/>
    </xf>
    <xf numFmtId="0" fontId="42" fillId="32" borderId="14" xfId="0" applyFont="1" applyFill="1" applyBorder="1" applyAlignment="1">
      <alignment horizontal="left" wrapText="1"/>
    </xf>
    <xf numFmtId="0" fontId="42" fillId="32" borderId="17" xfId="0" applyFont="1" applyFill="1" applyBorder="1" applyAlignment="1">
      <alignment horizontal="center"/>
    </xf>
    <xf numFmtId="0" fontId="42" fillId="32" borderId="36" xfId="0" applyFont="1" applyFill="1" applyBorder="1" applyAlignment="1">
      <alignment horizontal="center"/>
    </xf>
    <xf numFmtId="0" fontId="42" fillId="32" borderId="14" xfId="0" applyFont="1" applyFill="1" applyBorder="1" applyAlignment="1">
      <alignment/>
    </xf>
    <xf numFmtId="0" fontId="44" fillId="0" borderId="0" xfId="0" applyFont="1" applyAlignment="1">
      <alignment/>
    </xf>
    <xf numFmtId="0" fontId="16" fillId="0" borderId="18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2" xfId="0" applyFont="1" applyBorder="1" applyAlignment="1">
      <alignment/>
    </xf>
    <xf numFmtId="0" fontId="11" fillId="32" borderId="0" xfId="0" applyFont="1" applyFill="1" applyAlignment="1">
      <alignment vertical="center"/>
    </xf>
    <xf numFmtId="0" fontId="42" fillId="33" borderId="37" xfId="0" applyFont="1" applyFill="1" applyBorder="1" applyAlignment="1">
      <alignment horizontal="center" vertical="center"/>
    </xf>
    <xf numFmtId="0" fontId="42" fillId="32" borderId="37" xfId="0" applyFont="1" applyFill="1" applyBorder="1" applyAlignment="1">
      <alignment horizontal="center" vertical="center"/>
    </xf>
    <xf numFmtId="0" fontId="42" fillId="32" borderId="22" xfId="0" applyFont="1" applyFill="1" applyBorder="1" applyAlignment="1">
      <alignment vertical="center" wrapText="1"/>
    </xf>
    <xf numFmtId="0" fontId="42" fillId="32" borderId="22" xfId="0" applyFont="1" applyFill="1" applyBorder="1" applyAlignment="1">
      <alignment horizontal="left" wrapText="1"/>
    </xf>
    <xf numFmtId="0" fontId="40" fillId="33" borderId="38" xfId="0" applyFont="1" applyFill="1" applyBorder="1" applyAlignment="1">
      <alignment horizontal="center"/>
    </xf>
    <xf numFmtId="0" fontId="45" fillId="0" borderId="0" xfId="0" applyFont="1" applyAlignment="1">
      <alignment/>
    </xf>
    <xf numFmtId="49" fontId="16" fillId="32" borderId="22" xfId="0" applyNumberFormat="1" applyFont="1" applyFill="1" applyBorder="1" applyAlignment="1">
      <alignment horizontal="center"/>
    </xf>
    <xf numFmtId="0" fontId="42" fillId="32" borderId="37" xfId="0" applyFont="1" applyFill="1" applyBorder="1" applyAlignment="1">
      <alignment horizontal="center"/>
    </xf>
    <xf numFmtId="0" fontId="42" fillId="32" borderId="36" xfId="0" applyFont="1" applyFill="1" applyBorder="1" applyAlignment="1">
      <alignment wrapText="1"/>
    </xf>
    <xf numFmtId="0" fontId="42" fillId="32" borderId="14" xfId="0" applyFont="1" applyFill="1" applyBorder="1" applyAlignment="1">
      <alignment/>
    </xf>
    <xf numFmtId="0" fontId="42" fillId="32" borderId="36" xfId="0" applyFont="1" applyFill="1" applyBorder="1" applyAlignment="1">
      <alignment/>
    </xf>
    <xf numFmtId="0" fontId="42" fillId="33" borderId="33" xfId="0" applyFont="1" applyFill="1" applyBorder="1" applyAlignment="1">
      <alignment horizontal="center"/>
    </xf>
    <xf numFmtId="0" fontId="40" fillId="0" borderId="17" xfId="0" applyFont="1" applyBorder="1" applyAlignment="1">
      <alignment horizontal="left" vertical="center" wrapText="1"/>
    </xf>
    <xf numFmtId="0" fontId="16" fillId="0" borderId="50" xfId="0" applyFont="1" applyBorder="1" applyAlignment="1">
      <alignment/>
    </xf>
    <xf numFmtId="0" fontId="16" fillId="0" borderId="48" xfId="0" applyFont="1" applyBorder="1" applyAlignment="1">
      <alignment/>
    </xf>
    <xf numFmtId="0" fontId="16" fillId="33" borderId="48" xfId="0" applyFont="1" applyFill="1" applyBorder="1" applyAlignment="1">
      <alignment/>
    </xf>
    <xf numFmtId="0" fontId="16" fillId="0" borderId="13" xfId="0" applyFont="1" applyBorder="1" applyAlignment="1">
      <alignment/>
    </xf>
    <xf numFmtId="0" fontId="33" fillId="0" borderId="51" xfId="0" applyFont="1" applyBorder="1" applyAlignment="1">
      <alignment/>
    </xf>
    <xf numFmtId="0" fontId="14" fillId="32" borderId="11" xfId="0" applyFont="1" applyFill="1" applyBorder="1" applyAlignment="1">
      <alignment horizontal="center" vertical="center" textRotation="90"/>
    </xf>
    <xf numFmtId="0" fontId="14" fillId="32" borderId="12" xfId="0" applyFont="1" applyFill="1" applyBorder="1" applyAlignment="1">
      <alignment horizontal="center" vertical="center" textRotation="90"/>
    </xf>
    <xf numFmtId="0" fontId="14" fillId="32" borderId="12" xfId="0" applyFont="1" applyFill="1" applyBorder="1" applyAlignment="1">
      <alignment horizontal="center" vertical="center" textRotation="90" wrapText="1"/>
    </xf>
    <xf numFmtId="0" fontId="14" fillId="32" borderId="12" xfId="0" applyFont="1" applyFill="1" applyBorder="1" applyAlignment="1">
      <alignment horizontal="center" vertical="center"/>
    </xf>
    <xf numFmtId="0" fontId="14" fillId="32" borderId="17" xfId="0" applyFont="1" applyFill="1" applyBorder="1" applyAlignment="1">
      <alignment horizontal="center" vertical="center"/>
    </xf>
    <xf numFmtId="49" fontId="16" fillId="32" borderId="18" xfId="0" applyNumberFormat="1" applyFont="1" applyFill="1" applyBorder="1" applyAlignment="1">
      <alignment horizontal="center" vertical="center"/>
    </xf>
    <xf numFmtId="49" fontId="16" fillId="32" borderId="17" xfId="0" applyNumberFormat="1" applyFont="1" applyFill="1" applyBorder="1" applyAlignment="1">
      <alignment horizontal="center" vertical="center"/>
    </xf>
    <xf numFmtId="0" fontId="16" fillId="32" borderId="17" xfId="0" applyFont="1" applyFill="1" applyBorder="1" applyAlignment="1">
      <alignment/>
    </xf>
    <xf numFmtId="0" fontId="40" fillId="32" borderId="17" xfId="0" applyFont="1" applyFill="1" applyBorder="1" applyAlignment="1">
      <alignment vertical="center" wrapText="1"/>
    </xf>
    <xf numFmtId="49" fontId="16" fillId="32" borderId="25" xfId="0" applyNumberFormat="1" applyFont="1" applyFill="1" applyBorder="1" applyAlignment="1">
      <alignment horizontal="center" vertical="center"/>
    </xf>
    <xf numFmtId="49" fontId="16" fillId="32" borderId="26" xfId="0" applyNumberFormat="1" applyFont="1" applyFill="1" applyBorder="1" applyAlignment="1">
      <alignment horizontal="center" vertical="center"/>
    </xf>
    <xf numFmtId="0" fontId="16" fillId="32" borderId="26" xfId="0" applyFont="1" applyFill="1" applyBorder="1" applyAlignment="1">
      <alignment/>
    </xf>
    <xf numFmtId="0" fontId="40" fillId="32" borderId="26" xfId="0" applyFont="1" applyFill="1" applyBorder="1" applyAlignment="1">
      <alignment vertical="center"/>
    </xf>
    <xf numFmtId="49" fontId="16" fillId="32" borderId="25" xfId="0" applyNumberFormat="1" applyFont="1" applyFill="1" applyBorder="1" applyAlignment="1">
      <alignment/>
    </xf>
    <xf numFmtId="49" fontId="16" fillId="32" borderId="26" xfId="0" applyNumberFormat="1" applyFont="1" applyFill="1" applyBorder="1" applyAlignment="1">
      <alignment/>
    </xf>
    <xf numFmtId="0" fontId="40" fillId="32" borderId="33" xfId="0" applyFont="1" applyFill="1" applyBorder="1" applyAlignment="1">
      <alignment horizontal="center" vertical="center"/>
    </xf>
    <xf numFmtId="0" fontId="40" fillId="32" borderId="33" xfId="0" applyFont="1" applyFill="1" applyBorder="1" applyAlignment="1">
      <alignment horizontal="center"/>
    </xf>
    <xf numFmtId="0" fontId="41" fillId="32" borderId="33" xfId="0" applyFont="1" applyFill="1" applyBorder="1" applyAlignment="1">
      <alignment horizontal="left"/>
    </xf>
    <xf numFmtId="49" fontId="16" fillId="32" borderId="23" xfId="0" applyNumberFormat="1" applyFont="1" applyFill="1" applyBorder="1" applyAlignment="1">
      <alignment horizontal="center"/>
    </xf>
    <xf numFmtId="0" fontId="42" fillId="32" borderId="37" xfId="0" applyFont="1" applyFill="1" applyBorder="1" applyAlignment="1">
      <alignment/>
    </xf>
    <xf numFmtId="0" fontId="42" fillId="32" borderId="35" xfId="0" applyFont="1" applyFill="1" applyBorder="1" applyAlignment="1">
      <alignment/>
    </xf>
    <xf numFmtId="0" fontId="42" fillId="32" borderId="35" xfId="0" applyFont="1" applyFill="1" applyBorder="1" applyAlignment="1">
      <alignment wrapText="1"/>
    </xf>
    <xf numFmtId="49" fontId="16" fillId="32" borderId="13" xfId="0" applyNumberFormat="1" applyFont="1" applyFill="1" applyBorder="1" applyAlignment="1">
      <alignment horizontal="center"/>
    </xf>
    <xf numFmtId="49" fontId="16" fillId="32" borderId="14" xfId="0" applyNumberFormat="1" applyFont="1" applyFill="1" applyBorder="1" applyAlignment="1">
      <alignment horizontal="center"/>
    </xf>
    <xf numFmtId="0" fontId="42" fillId="32" borderId="36" xfId="0" applyFont="1" applyFill="1" applyBorder="1" applyAlignment="1">
      <alignment/>
    </xf>
    <xf numFmtId="49" fontId="16" fillId="32" borderId="18" xfId="0" applyNumberFormat="1" applyFont="1" applyFill="1" applyBorder="1" applyAlignment="1">
      <alignment horizontal="center"/>
    </xf>
    <xf numFmtId="49" fontId="16" fillId="32" borderId="17" xfId="0" applyNumberFormat="1" applyFont="1" applyFill="1" applyBorder="1" applyAlignment="1">
      <alignment horizontal="center"/>
    </xf>
    <xf numFmtId="0" fontId="40" fillId="32" borderId="36" xfId="0" applyFont="1" applyFill="1" applyBorder="1" applyAlignment="1">
      <alignment horizontal="center" vertical="center"/>
    </xf>
    <xf numFmtId="0" fontId="40" fillId="32" borderId="36" xfId="0" applyFont="1" applyFill="1" applyBorder="1" applyAlignment="1">
      <alignment horizontal="center"/>
    </xf>
    <xf numFmtId="0" fontId="41" fillId="32" borderId="36" xfId="0" applyFont="1" applyFill="1" applyBorder="1" applyAlignment="1">
      <alignment horizontal="left" wrapText="1"/>
    </xf>
    <xf numFmtId="0" fontId="42" fillId="32" borderId="37" xfId="0" applyFont="1" applyFill="1" applyBorder="1" applyAlignment="1">
      <alignment horizontal="left" wrapText="1"/>
    </xf>
    <xf numFmtId="0" fontId="16" fillId="32" borderId="15" xfId="0" applyFont="1" applyFill="1" applyBorder="1" applyAlignment="1">
      <alignment/>
    </xf>
    <xf numFmtId="0" fontId="16" fillId="32" borderId="16" xfId="0" applyFont="1" applyFill="1" applyBorder="1" applyAlignment="1">
      <alignment/>
    </xf>
    <xf numFmtId="0" fontId="40" fillId="32" borderId="38" xfId="0" applyFont="1" applyFill="1" applyBorder="1" applyAlignment="1">
      <alignment horizontal="left" vertical="center" wrapText="1"/>
    </xf>
    <xf numFmtId="0" fontId="16" fillId="32" borderId="25" xfId="0" applyFont="1" applyFill="1" applyBorder="1" applyAlignment="1">
      <alignment/>
    </xf>
    <xf numFmtId="0" fontId="16" fillId="32" borderId="30" xfId="0" applyFont="1" applyFill="1" applyBorder="1" applyAlignment="1">
      <alignment/>
    </xf>
    <xf numFmtId="0" fontId="16" fillId="32" borderId="19" xfId="0" applyFont="1" applyFill="1" applyBorder="1" applyAlignment="1">
      <alignment/>
    </xf>
    <xf numFmtId="0" fontId="42" fillId="0" borderId="37" xfId="0" applyFont="1" applyBorder="1" applyAlignment="1">
      <alignment wrapText="1"/>
    </xf>
    <xf numFmtId="49" fontId="16" fillId="0" borderId="29" xfId="0" applyNumberFormat="1" applyFont="1" applyBorder="1" applyAlignment="1">
      <alignment/>
    </xf>
    <xf numFmtId="49" fontId="16" fillId="0" borderId="31" xfId="0" applyNumberFormat="1" applyFont="1" applyBorder="1" applyAlignment="1">
      <alignment/>
    </xf>
    <xf numFmtId="0" fontId="40" fillId="0" borderId="44" xfId="0" applyFont="1" applyBorder="1" applyAlignment="1">
      <alignment horizontal="left" vertical="center" wrapText="1"/>
    </xf>
    <xf numFmtId="49" fontId="16" fillId="0" borderId="30" xfId="0" applyNumberFormat="1" applyFont="1" applyBorder="1" applyAlignment="1">
      <alignment/>
    </xf>
    <xf numFmtId="49" fontId="16" fillId="0" borderId="19" xfId="0" applyNumberFormat="1" applyFont="1" applyBorder="1" applyAlignment="1">
      <alignment/>
    </xf>
    <xf numFmtId="0" fontId="33" fillId="33" borderId="49" xfId="0" applyFont="1" applyFill="1" applyBorder="1" applyAlignment="1">
      <alignment/>
    </xf>
    <xf numFmtId="0" fontId="33" fillId="33" borderId="0" xfId="0" applyFont="1" applyFill="1" applyAlignment="1">
      <alignment/>
    </xf>
    <xf numFmtId="49" fontId="16" fillId="32" borderId="25" xfId="0" applyNumberFormat="1" applyFont="1" applyFill="1" applyBorder="1" applyAlignment="1">
      <alignment vertical="center"/>
    </xf>
    <xf numFmtId="0" fontId="42" fillId="32" borderId="33" xfId="0" applyFont="1" applyFill="1" applyBorder="1" applyAlignment="1">
      <alignment horizontal="center" vertical="center"/>
    </xf>
    <xf numFmtId="0" fontId="42" fillId="32" borderId="33" xfId="0" applyFont="1" applyFill="1" applyBorder="1" applyAlignment="1">
      <alignment horizontal="left" wrapText="1"/>
    </xf>
    <xf numFmtId="49" fontId="16" fillId="32" borderId="13" xfId="0" applyNumberFormat="1" applyFont="1" applyFill="1" applyBorder="1" applyAlignment="1">
      <alignment/>
    </xf>
    <xf numFmtId="0" fontId="42" fillId="32" borderId="35" xfId="0" applyFont="1" applyFill="1" applyBorder="1" applyAlignment="1">
      <alignment horizontal="center" vertical="center"/>
    </xf>
    <xf numFmtId="0" fontId="42" fillId="32" borderId="35" xfId="0" applyFont="1" applyFill="1" applyBorder="1" applyAlignment="1">
      <alignment horizontal="left"/>
    </xf>
    <xf numFmtId="0" fontId="33" fillId="33" borderId="27" xfId="0" applyFont="1" applyFill="1" applyBorder="1" applyAlignment="1">
      <alignment/>
    </xf>
    <xf numFmtId="49" fontId="16" fillId="32" borderId="23" xfId="0" applyNumberFormat="1" applyFont="1" applyFill="1" applyBorder="1" applyAlignment="1">
      <alignment/>
    </xf>
    <xf numFmtId="0" fontId="42" fillId="0" borderId="37" xfId="0" applyFont="1" applyBorder="1" applyAlignment="1">
      <alignment horizontal="left"/>
    </xf>
    <xf numFmtId="49" fontId="16" fillId="32" borderId="23" xfId="0" applyNumberFormat="1" applyFont="1" applyFill="1" applyBorder="1" applyAlignment="1">
      <alignment vertical="center"/>
    </xf>
    <xf numFmtId="0" fontId="42" fillId="32" borderId="37" xfId="0" applyFont="1" applyFill="1" applyBorder="1" applyAlignment="1">
      <alignment vertical="center" wrapText="1"/>
    </xf>
    <xf numFmtId="0" fontId="42" fillId="32" borderId="37" xfId="0" applyFont="1" applyFill="1" applyBorder="1" applyAlignment="1">
      <alignment wrapText="1"/>
    </xf>
    <xf numFmtId="0" fontId="42" fillId="0" borderId="37" xfId="0" applyFont="1" applyBorder="1" applyAlignment="1">
      <alignment vertical="center" wrapText="1"/>
    </xf>
    <xf numFmtId="49" fontId="16" fillId="33" borderId="18" xfId="0" applyNumberFormat="1" applyFont="1" applyFill="1" applyBorder="1" applyAlignment="1">
      <alignment/>
    </xf>
    <xf numFmtId="49" fontId="16" fillId="33" borderId="17" xfId="0" applyNumberFormat="1" applyFont="1" applyFill="1" applyBorder="1" applyAlignment="1">
      <alignment/>
    </xf>
    <xf numFmtId="0" fontId="40" fillId="0" borderId="36" xfId="0" applyFont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40" fillId="0" borderId="17" xfId="0" applyFont="1" applyBorder="1" applyAlignment="1">
      <alignment wrapText="1"/>
    </xf>
    <xf numFmtId="0" fontId="42" fillId="33" borderId="38" xfId="0" applyFont="1" applyFill="1" applyBorder="1" applyAlignment="1">
      <alignment/>
    </xf>
    <xf numFmtId="0" fontId="42" fillId="33" borderId="33" xfId="0" applyFont="1" applyFill="1" applyBorder="1" applyAlignment="1">
      <alignment/>
    </xf>
    <xf numFmtId="0" fontId="42" fillId="33" borderId="47" xfId="0" applyFont="1" applyFill="1" applyBorder="1" applyAlignment="1">
      <alignment/>
    </xf>
    <xf numFmtId="0" fontId="42" fillId="33" borderId="36" xfId="0" applyFont="1" applyFill="1" applyBorder="1" applyAlignment="1">
      <alignment horizontal="justify" vertical="top" wrapText="1"/>
    </xf>
    <xf numFmtId="0" fontId="42" fillId="33" borderId="33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vertical="center"/>
    </xf>
    <xf numFmtId="0" fontId="16" fillId="33" borderId="36" xfId="0" applyFont="1" applyFill="1" applyBorder="1" applyAlignment="1">
      <alignment horizontal="center"/>
    </xf>
    <xf numFmtId="0" fontId="40" fillId="0" borderId="26" xfId="0" applyFont="1" applyBorder="1" applyAlignment="1">
      <alignment horizontal="left"/>
    </xf>
    <xf numFmtId="0" fontId="16" fillId="33" borderId="22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justify" wrapText="1"/>
    </xf>
    <xf numFmtId="0" fontId="42" fillId="0" borderId="16" xfId="0" applyFont="1" applyBorder="1" applyAlignment="1">
      <alignment vertical="center" wrapText="1"/>
    </xf>
    <xf numFmtId="0" fontId="14" fillId="33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1" fillId="0" borderId="17" xfId="0" applyFont="1" applyBorder="1" applyAlignment="1">
      <alignment/>
    </xf>
    <xf numFmtId="0" fontId="11" fillId="33" borderId="17" xfId="0" applyFont="1" applyFill="1" applyBorder="1" applyAlignment="1">
      <alignment/>
    </xf>
    <xf numFmtId="0" fontId="46" fillId="33" borderId="33" xfId="0" applyFont="1" applyFill="1" applyBorder="1" applyAlignment="1">
      <alignment horizontal="center"/>
    </xf>
    <xf numFmtId="0" fontId="45" fillId="0" borderId="26" xfId="0" applyFont="1" applyBorder="1" applyAlignment="1">
      <alignment horizontal="left"/>
    </xf>
    <xf numFmtId="0" fontId="40" fillId="33" borderId="26" xfId="0" applyFont="1" applyFill="1" applyBorder="1" applyAlignment="1">
      <alignment horizontal="center" vertical="center"/>
    </xf>
    <xf numFmtId="0" fontId="41" fillId="0" borderId="26" xfId="0" applyFont="1" applyBorder="1" applyAlignment="1">
      <alignment horizontal="justify" vertical="center" wrapText="1"/>
    </xf>
    <xf numFmtId="0" fontId="42" fillId="0" borderId="22" xfId="0" applyFont="1" applyBorder="1" applyAlignment="1">
      <alignment horizontal="justify" wrapText="1"/>
    </xf>
    <xf numFmtId="49" fontId="16" fillId="32" borderId="40" xfId="0" applyNumberFormat="1" applyFont="1" applyFill="1" applyBorder="1" applyAlignment="1">
      <alignment horizontal="center"/>
    </xf>
    <xf numFmtId="0" fontId="42" fillId="32" borderId="37" xfId="0" applyFont="1" applyFill="1" applyBorder="1" applyAlignment="1">
      <alignment horizontal="center" wrapText="1"/>
    </xf>
    <xf numFmtId="0" fontId="42" fillId="0" borderId="14" xfId="0" applyFont="1" applyBorder="1" applyAlignment="1">
      <alignment horizontal="justify" wrapText="1"/>
    </xf>
    <xf numFmtId="0" fontId="42" fillId="33" borderId="36" xfId="0" applyFont="1" applyFill="1" applyBorder="1" applyAlignment="1">
      <alignment horizontal="center" wrapText="1"/>
    </xf>
    <xf numFmtId="0" fontId="40" fillId="33" borderId="36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vertical="center" wrapText="1"/>
    </xf>
    <xf numFmtId="0" fontId="42" fillId="33" borderId="22" xfId="0" applyFont="1" applyFill="1" applyBorder="1" applyAlignment="1">
      <alignment horizontal="center" wrapText="1"/>
    </xf>
    <xf numFmtId="0" fontId="16" fillId="33" borderId="22" xfId="0" applyFont="1" applyFill="1" applyBorder="1" applyAlignment="1">
      <alignment horizontal="center" vertical="center"/>
    </xf>
    <xf numFmtId="0" fontId="42" fillId="33" borderId="36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/>
    </xf>
    <xf numFmtId="0" fontId="40" fillId="33" borderId="38" xfId="0" applyFont="1" applyFill="1" applyBorder="1" applyAlignment="1">
      <alignment horizontal="justify" vertical="top" wrapText="1"/>
    </xf>
    <xf numFmtId="0" fontId="15" fillId="33" borderId="36" xfId="0" applyFont="1" applyFill="1" applyBorder="1" applyAlignment="1">
      <alignment horizontal="center" vertical="center"/>
    </xf>
    <xf numFmtId="0" fontId="42" fillId="33" borderId="33" xfId="0" applyFont="1" applyFill="1" applyBorder="1" applyAlignment="1">
      <alignment horizontal="justify" vertical="top" wrapText="1"/>
    </xf>
    <xf numFmtId="0" fontId="42" fillId="0" borderId="17" xfId="0" applyFont="1" applyBorder="1" applyAlignment="1">
      <alignment horizontal="justify" wrapText="1"/>
    </xf>
    <xf numFmtId="0" fontId="16" fillId="0" borderId="43" xfId="0" applyFont="1" applyBorder="1" applyAlignment="1">
      <alignment/>
    </xf>
    <xf numFmtId="0" fontId="42" fillId="33" borderId="38" xfId="0" applyFont="1" applyFill="1" applyBorder="1" applyAlignment="1">
      <alignment horizontal="center" vertical="top" wrapText="1"/>
    </xf>
    <xf numFmtId="0" fontId="16" fillId="0" borderId="28" xfId="0" applyFont="1" applyBorder="1" applyAlignment="1">
      <alignment/>
    </xf>
    <xf numFmtId="0" fontId="42" fillId="33" borderId="33" xfId="0" applyFont="1" applyFill="1" applyBorder="1" applyAlignment="1">
      <alignment horizontal="center" vertical="top" wrapText="1"/>
    </xf>
    <xf numFmtId="0" fontId="16" fillId="0" borderId="40" xfId="0" applyFont="1" applyBorder="1" applyAlignment="1">
      <alignment/>
    </xf>
    <xf numFmtId="0" fontId="42" fillId="33" borderId="37" xfId="0" applyFont="1" applyFill="1" applyBorder="1" applyAlignment="1">
      <alignment horizontal="center" vertical="top" wrapText="1"/>
    </xf>
    <xf numFmtId="0" fontId="33" fillId="0" borderId="42" xfId="0" applyFont="1" applyBorder="1" applyAlignment="1">
      <alignment/>
    </xf>
    <xf numFmtId="0" fontId="14" fillId="32" borderId="18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42" fillId="32" borderId="14" xfId="0" applyFont="1" applyFill="1" applyBorder="1" applyAlignment="1">
      <alignment wrapText="1"/>
    </xf>
    <xf numFmtId="0" fontId="33" fillId="33" borderId="39" xfId="0" applyFont="1" applyFill="1" applyBorder="1" applyAlignment="1">
      <alignment/>
    </xf>
    <xf numFmtId="0" fontId="44" fillId="33" borderId="39" xfId="0" applyFont="1" applyFill="1" applyBorder="1" applyAlignment="1">
      <alignment/>
    </xf>
    <xf numFmtId="0" fontId="47" fillId="33" borderId="30" xfId="0" applyFont="1" applyFill="1" applyBorder="1" applyAlignment="1">
      <alignment/>
    </xf>
    <xf numFmtId="0" fontId="47" fillId="33" borderId="19" xfId="0" applyFont="1" applyFill="1" applyBorder="1" applyAlignment="1">
      <alignment/>
    </xf>
    <xf numFmtId="0" fontId="47" fillId="33" borderId="26" xfId="0" applyFont="1" applyFill="1" applyBorder="1" applyAlignment="1">
      <alignment/>
    </xf>
    <xf numFmtId="0" fontId="48" fillId="33" borderId="33" xfId="0" applyFont="1" applyFill="1" applyBorder="1" applyAlignment="1">
      <alignment horizontal="center" vertical="top" wrapText="1"/>
    </xf>
    <xf numFmtId="0" fontId="49" fillId="0" borderId="26" xfId="0" applyFont="1" applyBorder="1" applyAlignment="1">
      <alignment vertical="center" wrapText="1"/>
    </xf>
    <xf numFmtId="0" fontId="44" fillId="33" borderId="0" xfId="0" applyFont="1" applyFill="1" applyAlignment="1">
      <alignment/>
    </xf>
    <xf numFmtId="0" fontId="16" fillId="0" borderId="52" xfId="0" applyFont="1" applyBorder="1" applyAlignment="1">
      <alignment/>
    </xf>
    <xf numFmtId="0" fontId="16" fillId="0" borderId="51" xfId="0" applyFont="1" applyBorder="1" applyAlignment="1">
      <alignment/>
    </xf>
    <xf numFmtId="0" fontId="16" fillId="0" borderId="44" xfId="0" applyFont="1" applyBorder="1" applyAlignment="1">
      <alignment/>
    </xf>
    <xf numFmtId="0" fontId="42" fillId="33" borderId="31" xfId="0" applyFont="1" applyFill="1" applyBorder="1" applyAlignment="1">
      <alignment/>
    </xf>
    <xf numFmtId="0" fontId="40" fillId="33" borderId="36" xfId="0" applyFont="1" applyFill="1" applyBorder="1" applyAlignment="1">
      <alignment horizontal="center" vertical="top" wrapText="1"/>
    </xf>
    <xf numFmtId="0" fontId="40" fillId="33" borderId="33" xfId="0" applyFont="1" applyFill="1" applyBorder="1" applyAlignment="1">
      <alignment vertical="center" wrapText="1"/>
    </xf>
    <xf numFmtId="0" fontId="40" fillId="0" borderId="33" xfId="0" applyFont="1" applyBorder="1" applyAlignment="1">
      <alignment vertical="center" wrapText="1"/>
    </xf>
    <xf numFmtId="0" fontId="41" fillId="0" borderId="33" xfId="0" applyFont="1" applyBorder="1" applyAlignment="1">
      <alignment wrapText="1"/>
    </xf>
    <xf numFmtId="0" fontId="42" fillId="0" borderId="35" xfId="0" applyFont="1" applyBorder="1" applyAlignment="1">
      <alignment horizontal="justify" wrapText="1"/>
    </xf>
    <xf numFmtId="0" fontId="42" fillId="0" borderId="36" xfId="0" applyFont="1" applyBorder="1" applyAlignment="1">
      <alignment horizontal="justify" wrapText="1"/>
    </xf>
    <xf numFmtId="0" fontId="15" fillId="33" borderId="17" xfId="0" applyFont="1" applyFill="1" applyBorder="1" applyAlignment="1">
      <alignment horizontal="center" vertical="center" wrapText="1"/>
    </xf>
    <xf numFmtId="0" fontId="41" fillId="0" borderId="36" xfId="0" applyFont="1" applyBorder="1" applyAlignment="1">
      <alignment wrapText="1"/>
    </xf>
    <xf numFmtId="0" fontId="40" fillId="33" borderId="38" xfId="0" applyFont="1" applyFill="1" applyBorder="1" applyAlignment="1">
      <alignment vertical="top" wrapText="1"/>
    </xf>
    <xf numFmtId="0" fontId="40" fillId="0" borderId="38" xfId="0" applyFont="1" applyBorder="1" applyAlignment="1">
      <alignment vertical="center" wrapText="1"/>
    </xf>
    <xf numFmtId="0" fontId="40" fillId="33" borderId="33" xfId="0" applyFont="1" applyFill="1" applyBorder="1" applyAlignment="1">
      <alignment vertical="top" wrapText="1"/>
    </xf>
    <xf numFmtId="0" fontId="40" fillId="33" borderId="47" xfId="0" applyFont="1" applyFill="1" applyBorder="1" applyAlignment="1">
      <alignment vertical="top" wrapText="1"/>
    </xf>
    <xf numFmtId="0" fontId="40" fillId="0" borderId="41" xfId="0" applyFont="1" applyBorder="1" applyAlignment="1">
      <alignment horizontal="left" vertical="center" wrapText="1"/>
    </xf>
    <xf numFmtId="0" fontId="15" fillId="33" borderId="33" xfId="0" applyFont="1" applyFill="1" applyBorder="1" applyAlignment="1">
      <alignment horizontal="center" vertical="top" wrapText="1"/>
    </xf>
    <xf numFmtId="0" fontId="41" fillId="0" borderId="33" xfId="0" applyFont="1" applyBorder="1" applyAlignment="1">
      <alignment horizontal="justify" wrapText="1"/>
    </xf>
    <xf numFmtId="0" fontId="33" fillId="0" borderId="20" xfId="0" applyFont="1" applyBorder="1" applyAlignment="1">
      <alignment vertical="center"/>
    </xf>
    <xf numFmtId="0" fontId="40" fillId="0" borderId="37" xfId="0" applyFont="1" applyBorder="1" applyAlignment="1">
      <alignment vertical="center" wrapText="1"/>
    </xf>
    <xf numFmtId="0" fontId="16" fillId="33" borderId="17" xfId="0" applyFont="1" applyFill="1" applyBorder="1" applyAlignment="1">
      <alignment horizontal="center" vertical="top" wrapText="1"/>
    </xf>
    <xf numFmtId="0" fontId="40" fillId="0" borderId="36" xfId="0" applyFont="1" applyBorder="1" applyAlignment="1">
      <alignment horizontal="justify" vertical="center" wrapText="1"/>
    </xf>
    <xf numFmtId="0" fontId="16" fillId="33" borderId="16" xfId="0" applyFont="1" applyFill="1" applyBorder="1" applyAlignment="1">
      <alignment horizontal="center" vertical="top" wrapText="1"/>
    </xf>
    <xf numFmtId="0" fontId="40" fillId="33" borderId="17" xfId="0" applyFont="1" applyFill="1" applyBorder="1" applyAlignment="1">
      <alignment vertical="top" wrapText="1"/>
    </xf>
    <xf numFmtId="0" fontId="40" fillId="33" borderId="26" xfId="0" applyFont="1" applyFill="1" applyBorder="1" applyAlignment="1">
      <alignment vertical="top" wrapText="1"/>
    </xf>
    <xf numFmtId="49" fontId="16" fillId="0" borderId="21" xfId="0" applyNumberFormat="1" applyFont="1" applyBorder="1" applyAlignment="1">
      <alignment/>
    </xf>
    <xf numFmtId="0" fontId="42" fillId="33" borderId="26" xfId="0" applyFont="1" applyFill="1" applyBorder="1" applyAlignment="1">
      <alignment vertical="top" wrapText="1"/>
    </xf>
    <xf numFmtId="0" fontId="41" fillId="0" borderId="17" xfId="0" applyFont="1" applyBorder="1" applyAlignment="1">
      <alignment wrapText="1"/>
    </xf>
    <xf numFmtId="0" fontId="42" fillId="32" borderId="35" xfId="0" applyFont="1" applyFill="1" applyBorder="1" applyAlignment="1">
      <alignment horizontal="center" wrapText="1"/>
    </xf>
    <xf numFmtId="0" fontId="42" fillId="32" borderId="14" xfId="0" applyFont="1" applyFill="1" applyBorder="1" applyAlignment="1">
      <alignment horizontal="justify" wrapText="1"/>
    </xf>
    <xf numFmtId="0" fontId="40" fillId="0" borderId="16" xfId="0" applyFont="1" applyBorder="1" applyAlignment="1">
      <alignment horizontal="left" vertical="center" wrapText="1"/>
    </xf>
    <xf numFmtId="0" fontId="42" fillId="33" borderId="47" xfId="0" applyFont="1" applyFill="1" applyBorder="1" applyAlignment="1">
      <alignment horizontal="center" vertical="top" wrapText="1"/>
    </xf>
    <xf numFmtId="0" fontId="16" fillId="33" borderId="26" xfId="0" applyFont="1" applyFill="1" applyBorder="1" applyAlignment="1">
      <alignment horizontal="center"/>
    </xf>
    <xf numFmtId="49" fontId="16" fillId="0" borderId="13" xfId="0" applyNumberFormat="1" applyFont="1" applyBorder="1" applyAlignment="1">
      <alignment/>
    </xf>
    <xf numFmtId="49" fontId="16" fillId="0" borderId="14" xfId="0" applyNumberFormat="1" applyFont="1" applyBorder="1" applyAlignment="1">
      <alignment/>
    </xf>
    <xf numFmtId="0" fontId="40" fillId="33" borderId="35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 vertical="center"/>
    </xf>
    <xf numFmtId="0" fontId="41" fillId="32" borderId="26" xfId="0" applyFont="1" applyFill="1" applyBorder="1" applyAlignment="1">
      <alignment horizontal="left"/>
    </xf>
    <xf numFmtId="0" fontId="42" fillId="32" borderId="22" xfId="0" applyFont="1" applyFill="1" applyBorder="1" applyAlignment="1">
      <alignment horizontal="justify" wrapText="1"/>
    </xf>
    <xf numFmtId="0" fontId="16" fillId="33" borderId="33" xfId="0" applyFont="1" applyFill="1" applyBorder="1" applyAlignment="1">
      <alignment horizontal="center"/>
    </xf>
    <xf numFmtId="49" fontId="16" fillId="0" borderId="30" xfId="0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center"/>
    </xf>
    <xf numFmtId="49" fontId="16" fillId="0" borderId="53" xfId="0" applyNumberFormat="1" applyFont="1" applyBorder="1" applyAlignment="1">
      <alignment horizontal="center"/>
    </xf>
    <xf numFmtId="0" fontId="40" fillId="33" borderId="14" xfId="0" applyFont="1" applyFill="1" applyBorder="1" applyAlignment="1">
      <alignment vertical="top" wrapText="1"/>
    </xf>
    <xf numFmtId="0" fontId="40" fillId="33" borderId="16" xfId="0" applyFont="1" applyFill="1" applyBorder="1" applyAlignment="1">
      <alignment vertical="top" wrapText="1"/>
    </xf>
    <xf numFmtId="0" fontId="40" fillId="0" borderId="41" xfId="0" applyFont="1" applyBorder="1" applyAlignment="1">
      <alignment vertical="center"/>
    </xf>
    <xf numFmtId="0" fontId="40" fillId="0" borderId="26" xfId="0" applyFont="1" applyBorder="1" applyAlignment="1">
      <alignment wrapText="1"/>
    </xf>
    <xf numFmtId="0" fontId="41" fillId="0" borderId="26" xfId="0" applyFont="1" applyBorder="1" applyAlignment="1">
      <alignment vertical="center" wrapText="1"/>
    </xf>
    <xf numFmtId="49" fontId="16" fillId="0" borderId="28" xfId="0" applyNumberFormat="1" applyFont="1" applyBorder="1" applyAlignment="1">
      <alignment/>
    </xf>
    <xf numFmtId="0" fontId="15" fillId="33" borderId="38" xfId="0" applyFont="1" applyFill="1" applyBorder="1" applyAlignment="1">
      <alignment vertical="top" wrapText="1"/>
    </xf>
    <xf numFmtId="0" fontId="42" fillId="33" borderId="17" xfId="0" applyFont="1" applyFill="1" applyBorder="1" applyAlignment="1">
      <alignment/>
    </xf>
    <xf numFmtId="0" fontId="42" fillId="33" borderId="26" xfId="0" applyFont="1" applyFill="1" applyBorder="1" applyAlignment="1">
      <alignment/>
    </xf>
    <xf numFmtId="0" fontId="41" fillId="0" borderId="26" xfId="0" applyFont="1" applyBorder="1" applyAlignment="1">
      <alignment/>
    </xf>
    <xf numFmtId="49" fontId="42" fillId="0" borderId="25" xfId="0" applyNumberFormat="1" applyFont="1" applyBorder="1" applyAlignment="1">
      <alignment horizontal="center"/>
    </xf>
    <xf numFmtId="49" fontId="42" fillId="0" borderId="26" xfId="0" applyNumberFormat="1" applyFont="1" applyBorder="1" applyAlignment="1">
      <alignment horizontal="center"/>
    </xf>
    <xf numFmtId="49" fontId="42" fillId="0" borderId="28" xfId="0" applyNumberFormat="1" applyFont="1" applyBorder="1" applyAlignment="1">
      <alignment horizontal="center"/>
    </xf>
    <xf numFmtId="0" fontId="42" fillId="33" borderId="26" xfId="0" applyFont="1" applyFill="1" applyBorder="1" applyAlignment="1">
      <alignment horizontal="center"/>
    </xf>
    <xf numFmtId="0" fontId="42" fillId="0" borderId="26" xfId="0" applyFont="1" applyBorder="1" applyAlignment="1">
      <alignment/>
    </xf>
    <xf numFmtId="49" fontId="42" fillId="0" borderId="13" xfId="0" applyNumberFormat="1" applyFont="1" applyBorder="1" applyAlignment="1">
      <alignment horizontal="center"/>
    </xf>
    <xf numFmtId="49" fontId="42" fillId="0" borderId="14" xfId="0" applyNumberFormat="1" applyFont="1" applyBorder="1" applyAlignment="1">
      <alignment horizontal="center"/>
    </xf>
    <xf numFmtId="0" fontId="40" fillId="0" borderId="14" xfId="0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15" fillId="33" borderId="36" xfId="0" applyFont="1" applyFill="1" applyBorder="1" applyAlignment="1">
      <alignment horizontal="justify" vertical="top" wrapText="1"/>
    </xf>
    <xf numFmtId="0" fontId="40" fillId="33" borderId="44" xfId="0" applyFont="1" applyFill="1" applyBorder="1" applyAlignment="1">
      <alignment vertical="top" wrapText="1"/>
    </xf>
    <xf numFmtId="0" fontId="40" fillId="0" borderId="26" xfId="0" applyFont="1" applyBorder="1" applyAlignment="1">
      <alignment horizontal="left" vertical="center"/>
    </xf>
    <xf numFmtId="0" fontId="41" fillId="0" borderId="26" xfId="0" applyFont="1" applyBorder="1" applyAlignment="1">
      <alignment horizontal="left" wrapText="1"/>
    </xf>
    <xf numFmtId="0" fontId="42" fillId="33" borderId="38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5" fillId="0" borderId="0" xfId="0" applyFont="1" applyAlignment="1">
      <alignment horizontal="left" vertical="center" wrapText="1"/>
    </xf>
    <xf numFmtId="0" fontId="40" fillId="0" borderId="26" xfId="0" applyFont="1" applyBorder="1" applyAlignment="1">
      <alignment horizontal="justify" vertical="center"/>
    </xf>
    <xf numFmtId="0" fontId="41" fillId="0" borderId="26" xfId="0" applyFont="1" applyBorder="1" applyAlignment="1">
      <alignment horizontal="justify"/>
    </xf>
    <xf numFmtId="0" fontId="11" fillId="0" borderId="50" xfId="0" applyFont="1" applyBorder="1" applyAlignment="1">
      <alignment/>
    </xf>
    <xf numFmtId="0" fontId="11" fillId="0" borderId="48" xfId="0" applyFont="1" applyBorder="1" applyAlignment="1">
      <alignment/>
    </xf>
    <xf numFmtId="0" fontId="11" fillId="33" borderId="48" xfId="0" applyFont="1" applyFill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33" borderId="26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33" fillId="0" borderId="39" xfId="0" applyFont="1" applyBorder="1" applyAlignment="1">
      <alignment/>
    </xf>
    <xf numFmtId="0" fontId="11" fillId="33" borderId="25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42" fillId="0" borderId="14" xfId="0" applyFont="1" applyBorder="1" applyAlignment="1">
      <alignment horizontal="center" vertical="center"/>
    </xf>
    <xf numFmtId="0" fontId="11" fillId="33" borderId="30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40" fillId="0" borderId="31" xfId="0" applyFont="1" applyBorder="1" applyAlignment="1">
      <alignment horizontal="center" vertical="center"/>
    </xf>
    <xf numFmtId="0" fontId="11" fillId="33" borderId="50" xfId="0" applyFont="1" applyFill="1" applyBorder="1" applyAlignment="1">
      <alignment/>
    </xf>
    <xf numFmtId="0" fontId="14" fillId="32" borderId="12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4" fontId="18" fillId="32" borderId="35" xfId="0" applyNumberFormat="1" applyFont="1" applyFill="1" applyBorder="1" applyAlignment="1">
      <alignment/>
    </xf>
    <xf numFmtId="0" fontId="15" fillId="32" borderId="12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wrapText="1"/>
    </xf>
    <xf numFmtId="0" fontId="16" fillId="32" borderId="23" xfId="0" applyFont="1" applyFill="1" applyBorder="1" applyAlignment="1">
      <alignment horizontal="center"/>
    </xf>
    <xf numFmtId="0" fontId="14" fillId="0" borderId="23" xfId="0" applyFont="1" applyBorder="1" applyAlignment="1">
      <alignment horizontal="center" vertical="center" textRotation="90"/>
    </xf>
    <xf numFmtId="0" fontId="14" fillId="0" borderId="22" xfId="0" applyFont="1" applyBorder="1" applyAlignment="1">
      <alignment horizontal="center" vertical="center" textRotation="90"/>
    </xf>
    <xf numFmtId="0" fontId="14" fillId="0" borderId="22" xfId="0" applyFont="1" applyBorder="1" applyAlignment="1">
      <alignment horizontal="center" vertical="center" textRotation="90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8" fillId="0" borderId="33" xfId="0" applyFont="1" applyBorder="1" applyAlignment="1">
      <alignment wrapText="1"/>
    </xf>
    <xf numFmtId="0" fontId="42" fillId="32" borderId="37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22" fillId="0" borderId="0" xfId="0" applyFont="1" applyAlignment="1">
      <alignment/>
    </xf>
    <xf numFmtId="0" fontId="18" fillId="0" borderId="27" xfId="0" applyFont="1" applyBorder="1" applyAlignment="1">
      <alignment vertical="center" wrapText="1"/>
    </xf>
    <xf numFmtId="4" fontId="16" fillId="32" borderId="54" xfId="0" applyNumberFormat="1" applyFont="1" applyFill="1" applyBorder="1" applyAlignment="1">
      <alignment/>
    </xf>
    <xf numFmtId="4" fontId="16" fillId="0" borderId="0" xfId="0" applyNumberFormat="1" applyFont="1" applyAlignment="1">
      <alignment horizontal="center"/>
    </xf>
    <xf numFmtId="0" fontId="30" fillId="0" borderId="23" xfId="0" applyFont="1" applyBorder="1" applyAlignment="1">
      <alignment horizontal="center" vertical="center"/>
    </xf>
    <xf numFmtId="0" fontId="29" fillId="32" borderId="22" xfId="0" applyFont="1" applyFill="1" applyBorder="1" applyAlignment="1">
      <alignment wrapText="1"/>
    </xf>
    <xf numFmtId="0" fontId="15" fillId="32" borderId="31" xfId="0" applyFont="1" applyFill="1" applyBorder="1" applyAlignment="1">
      <alignment vertical="center"/>
    </xf>
    <xf numFmtId="0" fontId="15" fillId="32" borderId="16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18" fillId="0" borderId="14" xfId="0" applyFont="1" applyBorder="1" applyAlignment="1">
      <alignment horizontal="left" vertical="center" wrapText="1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33" borderId="12" xfId="0" applyFont="1" applyFill="1" applyBorder="1" applyAlignment="1">
      <alignment/>
    </xf>
    <xf numFmtId="0" fontId="10" fillId="32" borderId="14" xfId="0" applyFont="1" applyFill="1" applyBorder="1" applyAlignment="1">
      <alignment horizontal="center" vertical="center" wrapText="1"/>
    </xf>
    <xf numFmtId="0" fontId="42" fillId="32" borderId="14" xfId="0" applyFont="1" applyFill="1" applyBorder="1" applyAlignment="1">
      <alignment horizontal="center"/>
    </xf>
    <xf numFmtId="0" fontId="15" fillId="32" borderId="17" xfId="0" applyFont="1" applyFill="1" applyBorder="1" applyAlignment="1">
      <alignment vertical="center" wrapText="1"/>
    </xf>
    <xf numFmtId="0" fontId="15" fillId="32" borderId="26" xfId="0" applyFont="1" applyFill="1" applyBorder="1" applyAlignment="1">
      <alignment vertical="center" wrapText="1"/>
    </xf>
    <xf numFmtId="0" fontId="15" fillId="32" borderId="14" xfId="0" applyFont="1" applyFill="1" applyBorder="1" applyAlignment="1">
      <alignment vertical="center" wrapText="1"/>
    </xf>
    <xf numFmtId="0" fontId="15" fillId="32" borderId="26" xfId="0" applyFont="1" applyFill="1" applyBorder="1" applyAlignment="1">
      <alignment vertical="center"/>
    </xf>
    <xf numFmtId="0" fontId="18" fillId="0" borderId="40" xfId="0" applyFont="1" applyBorder="1" applyAlignment="1">
      <alignment vertical="center" wrapText="1"/>
    </xf>
    <xf numFmtId="0" fontId="15" fillId="32" borderId="17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4" fontId="15" fillId="32" borderId="34" xfId="0" applyNumberFormat="1" applyFont="1" applyFill="1" applyBorder="1" applyAlignment="1">
      <alignment/>
    </xf>
    <xf numFmtId="4" fontId="16" fillId="32" borderId="34" xfId="0" applyNumberFormat="1" applyFont="1" applyFill="1" applyBorder="1" applyAlignment="1">
      <alignment horizontal="center" vertical="center"/>
    </xf>
    <xf numFmtId="0" fontId="16" fillId="32" borderId="22" xfId="0" applyFont="1" applyFill="1" applyBorder="1" applyAlignment="1">
      <alignment wrapText="1"/>
    </xf>
    <xf numFmtId="0" fontId="16" fillId="32" borderId="26" xfId="0" applyFont="1" applyFill="1" applyBorder="1" applyAlignment="1">
      <alignment/>
    </xf>
    <xf numFmtId="4" fontId="15" fillId="32" borderId="34" xfId="0" applyNumberFormat="1" applyFont="1" applyFill="1" applyBorder="1" applyAlignment="1">
      <alignment horizontal="center" vertical="center"/>
    </xf>
    <xf numFmtId="4" fontId="15" fillId="32" borderId="32" xfId="0" applyNumberFormat="1" applyFont="1" applyFill="1" applyBorder="1" applyAlignment="1">
      <alignment horizontal="center" vertical="center"/>
    </xf>
    <xf numFmtId="4" fontId="15" fillId="32" borderId="34" xfId="0" applyNumberFormat="1" applyFont="1" applyFill="1" applyBorder="1" applyAlignment="1">
      <alignment vertical="center"/>
    </xf>
    <xf numFmtId="4" fontId="16" fillId="32" borderId="55" xfId="0" applyNumberFormat="1" applyFont="1" applyFill="1" applyBorder="1" applyAlignment="1">
      <alignment horizontal="center"/>
    </xf>
    <xf numFmtId="4" fontId="16" fillId="32" borderId="34" xfId="0" applyNumberFormat="1" applyFont="1" applyFill="1" applyBorder="1" applyAlignment="1">
      <alignment horizontal="center"/>
    </xf>
    <xf numFmtId="0" fontId="16" fillId="32" borderId="25" xfId="0" applyFont="1" applyFill="1" applyBorder="1" applyAlignment="1">
      <alignment horizontal="center"/>
    </xf>
    <xf numFmtId="0" fontId="16" fillId="32" borderId="26" xfId="0" applyFont="1" applyFill="1" applyBorder="1" applyAlignment="1">
      <alignment wrapText="1"/>
    </xf>
    <xf numFmtId="0" fontId="16" fillId="32" borderId="34" xfId="0" applyFont="1" applyFill="1" applyBorder="1" applyAlignment="1">
      <alignment/>
    </xf>
    <xf numFmtId="0" fontId="16" fillId="32" borderId="14" xfId="0" applyFont="1" applyFill="1" applyBorder="1" applyAlignment="1">
      <alignment horizontal="center"/>
    </xf>
    <xf numFmtId="0" fontId="42" fillId="32" borderId="22" xfId="0" applyFont="1" applyFill="1" applyBorder="1" applyAlignment="1">
      <alignment/>
    </xf>
    <xf numFmtId="0" fontId="42" fillId="32" borderId="22" xfId="0" applyFont="1" applyFill="1" applyBorder="1" applyAlignment="1">
      <alignment horizontal="center"/>
    </xf>
    <xf numFmtId="49" fontId="16" fillId="32" borderId="21" xfId="0" applyNumberFormat="1" applyFont="1" applyFill="1" applyBorder="1" applyAlignment="1">
      <alignment horizontal="center" vertical="center"/>
    </xf>
    <xf numFmtId="0" fontId="40" fillId="32" borderId="17" xfId="0" applyFont="1" applyFill="1" applyBorder="1" applyAlignment="1">
      <alignment horizontal="center" vertical="center"/>
    </xf>
    <xf numFmtId="49" fontId="16" fillId="32" borderId="23" xfId="0" applyNumberFormat="1" applyFont="1" applyFill="1" applyBorder="1" applyAlignment="1">
      <alignment horizontal="center"/>
    </xf>
    <xf numFmtId="49" fontId="16" fillId="32" borderId="22" xfId="0" applyNumberFormat="1" applyFont="1" applyFill="1" applyBorder="1" applyAlignment="1">
      <alignment horizontal="center"/>
    </xf>
    <xf numFmtId="49" fontId="16" fillId="32" borderId="40" xfId="0" applyNumberFormat="1" applyFont="1" applyFill="1" applyBorder="1" applyAlignment="1">
      <alignment horizontal="center"/>
    </xf>
    <xf numFmtId="49" fontId="16" fillId="32" borderId="23" xfId="0" applyNumberFormat="1" applyFont="1" applyFill="1" applyBorder="1" applyAlignment="1">
      <alignment/>
    </xf>
    <xf numFmtId="49" fontId="16" fillId="32" borderId="22" xfId="0" applyNumberFormat="1" applyFont="1" applyFill="1" applyBorder="1" applyAlignment="1">
      <alignment/>
    </xf>
    <xf numFmtId="0" fontId="16" fillId="32" borderId="18" xfId="0" applyFont="1" applyFill="1" applyBorder="1" applyAlignment="1">
      <alignment/>
    </xf>
    <xf numFmtId="0" fontId="41" fillId="32" borderId="17" xfId="0" applyFont="1" applyFill="1" applyBorder="1" applyAlignment="1">
      <alignment horizontal="left" wrapText="1"/>
    </xf>
    <xf numFmtId="0" fontId="40" fillId="32" borderId="19" xfId="0" applyFont="1" applyFill="1" applyBorder="1" applyAlignment="1">
      <alignment horizontal="left" vertical="center" wrapText="1"/>
    </xf>
    <xf numFmtId="49" fontId="16" fillId="32" borderId="25" xfId="0" applyNumberFormat="1" applyFont="1" applyFill="1" applyBorder="1" applyAlignment="1">
      <alignment horizontal="center"/>
    </xf>
    <xf numFmtId="49" fontId="16" fillId="32" borderId="26" xfId="0" applyNumberFormat="1" applyFont="1" applyFill="1" applyBorder="1" applyAlignment="1">
      <alignment horizontal="center"/>
    </xf>
    <xf numFmtId="0" fontId="42" fillId="32" borderId="33" xfId="0" applyFont="1" applyFill="1" applyBorder="1" applyAlignment="1">
      <alignment horizontal="center"/>
    </xf>
    <xf numFmtId="0" fontId="42" fillId="32" borderId="33" xfId="0" applyFont="1" applyFill="1" applyBorder="1" applyAlignment="1">
      <alignment wrapText="1"/>
    </xf>
    <xf numFmtId="49" fontId="16" fillId="32" borderId="14" xfId="0" applyNumberFormat="1" applyFont="1" applyFill="1" applyBorder="1" applyAlignment="1">
      <alignment horizontal="center" vertical="center"/>
    </xf>
    <xf numFmtId="49" fontId="16" fillId="32" borderId="13" xfId="0" applyNumberFormat="1" applyFont="1" applyFill="1" applyBorder="1" applyAlignment="1">
      <alignment horizontal="center" vertical="center"/>
    </xf>
    <xf numFmtId="0" fontId="41" fillId="32" borderId="33" xfId="0" applyFont="1" applyFill="1" applyBorder="1" applyAlignment="1">
      <alignment horizontal="left" wrapText="1"/>
    </xf>
    <xf numFmtId="0" fontId="16" fillId="32" borderId="22" xfId="0" applyFont="1" applyFill="1" applyBorder="1" applyAlignment="1">
      <alignment horizontal="center"/>
    </xf>
    <xf numFmtId="0" fontId="16" fillId="32" borderId="22" xfId="0" applyFont="1" applyFill="1" applyBorder="1" applyAlignment="1">
      <alignment horizontal="center" wrapText="1"/>
    </xf>
    <xf numFmtId="0" fontId="42" fillId="32" borderId="35" xfId="0" applyFont="1" applyFill="1" applyBorder="1" applyAlignment="1">
      <alignment horizontal="center" vertical="center" wrapText="1"/>
    </xf>
    <xf numFmtId="0" fontId="40" fillId="32" borderId="14" xfId="0" applyFont="1" applyFill="1" applyBorder="1" applyAlignment="1">
      <alignment vertical="center"/>
    </xf>
    <xf numFmtId="49" fontId="16" fillId="32" borderId="18" xfId="0" applyNumberFormat="1" applyFont="1" applyFill="1" applyBorder="1" applyAlignment="1">
      <alignment/>
    </xf>
    <xf numFmtId="49" fontId="16" fillId="32" borderId="17" xfId="0" applyNumberFormat="1" applyFont="1" applyFill="1" applyBorder="1" applyAlignment="1">
      <alignment/>
    </xf>
    <xf numFmtId="0" fontId="41" fillId="32" borderId="26" xfId="0" applyFont="1" applyFill="1" applyBorder="1" applyAlignment="1">
      <alignment horizontal="left" wrapText="1"/>
    </xf>
    <xf numFmtId="0" fontId="16" fillId="32" borderId="26" xfId="0" applyFont="1" applyFill="1" applyBorder="1" applyAlignment="1">
      <alignment horizontal="center"/>
    </xf>
    <xf numFmtId="0" fontId="42" fillId="32" borderId="26" xfId="0" applyFont="1" applyFill="1" applyBorder="1" applyAlignment="1">
      <alignment/>
    </xf>
    <xf numFmtId="49" fontId="16" fillId="32" borderId="45" xfId="0" applyNumberFormat="1" applyFont="1" applyFill="1" applyBorder="1" applyAlignment="1">
      <alignment/>
    </xf>
    <xf numFmtId="49" fontId="16" fillId="32" borderId="39" xfId="0" applyNumberFormat="1" applyFont="1" applyFill="1" applyBorder="1" applyAlignment="1">
      <alignment/>
    </xf>
    <xf numFmtId="0" fontId="16" fillId="32" borderId="14" xfId="0" applyFont="1" applyFill="1" applyBorder="1" applyAlignment="1">
      <alignment/>
    </xf>
    <xf numFmtId="0" fontId="40" fillId="32" borderId="35" xfId="0" applyFont="1" applyFill="1" applyBorder="1" applyAlignment="1">
      <alignment vertical="center"/>
    </xf>
    <xf numFmtId="0" fontId="40" fillId="32" borderId="14" xfId="0" applyFont="1" applyFill="1" applyBorder="1" applyAlignment="1">
      <alignment wrapText="1"/>
    </xf>
    <xf numFmtId="0" fontId="42" fillId="32" borderId="22" xfId="0" applyFont="1" applyFill="1" applyBorder="1" applyAlignment="1">
      <alignment horizontal="left"/>
    </xf>
    <xf numFmtId="0" fontId="42" fillId="32" borderId="22" xfId="0" applyFont="1" applyFill="1" applyBorder="1" applyAlignment="1">
      <alignment wrapText="1"/>
    </xf>
    <xf numFmtId="0" fontId="16" fillId="32" borderId="22" xfId="0" applyFont="1" applyFill="1" applyBorder="1" applyAlignment="1">
      <alignment horizontal="center" vertical="center" wrapText="1"/>
    </xf>
    <xf numFmtId="49" fontId="16" fillId="32" borderId="22" xfId="0" applyNumberFormat="1" applyFont="1" applyFill="1" applyBorder="1" applyAlignment="1">
      <alignment vertical="center"/>
    </xf>
    <xf numFmtId="49" fontId="16" fillId="32" borderId="40" xfId="0" applyNumberFormat="1" applyFont="1" applyFill="1" applyBorder="1" applyAlignment="1">
      <alignment vertical="center"/>
    </xf>
    <xf numFmtId="0" fontId="42" fillId="32" borderId="17" xfId="0" applyFont="1" applyFill="1" applyBorder="1" applyAlignment="1">
      <alignment horizontal="justify" wrapText="1"/>
    </xf>
    <xf numFmtId="0" fontId="42" fillId="32" borderId="14" xfId="0" applyFont="1" applyFill="1" applyBorder="1" applyAlignment="1">
      <alignment horizontal="center" wrapText="1"/>
    </xf>
    <xf numFmtId="0" fontId="42" fillId="32" borderId="33" xfId="0" applyFont="1" applyFill="1" applyBorder="1" applyAlignment="1">
      <alignment horizontal="center" wrapText="1"/>
    </xf>
    <xf numFmtId="0" fontId="42" fillId="32" borderId="36" xfId="0" applyFont="1" applyFill="1" applyBorder="1" applyAlignment="1">
      <alignment horizontal="center" wrapText="1"/>
    </xf>
    <xf numFmtId="0" fontId="42" fillId="32" borderId="17" xfId="0" applyFont="1" applyFill="1" applyBorder="1" applyAlignment="1">
      <alignment wrapText="1"/>
    </xf>
    <xf numFmtId="0" fontId="16" fillId="32" borderId="13" xfId="0" applyFont="1" applyFill="1" applyBorder="1" applyAlignment="1">
      <alignment/>
    </xf>
    <xf numFmtId="0" fontId="40" fillId="32" borderId="36" xfId="0" applyFont="1" applyFill="1" applyBorder="1" applyAlignment="1">
      <alignment horizontal="center" vertical="center" wrapText="1"/>
    </xf>
    <xf numFmtId="49" fontId="16" fillId="32" borderId="28" xfId="0" applyNumberFormat="1" applyFont="1" applyFill="1" applyBorder="1" applyAlignment="1">
      <alignment horizontal="center"/>
    </xf>
    <xf numFmtId="0" fontId="16" fillId="32" borderId="26" xfId="0" applyFont="1" applyFill="1" applyBorder="1" applyAlignment="1">
      <alignment horizontal="center" wrapText="1"/>
    </xf>
    <xf numFmtId="0" fontId="16" fillId="32" borderId="14" xfId="0" applyFont="1" applyFill="1" applyBorder="1" applyAlignment="1">
      <alignment horizontal="center" vertical="center" wrapText="1"/>
    </xf>
    <xf numFmtId="0" fontId="42" fillId="32" borderId="14" xfId="0" applyFont="1" applyFill="1" applyBorder="1" applyAlignment="1">
      <alignment horizontal="center" vertical="center" wrapText="1"/>
    </xf>
    <xf numFmtId="0" fontId="40" fillId="32" borderId="33" xfId="0" applyFont="1" applyFill="1" applyBorder="1" applyAlignment="1">
      <alignment horizontal="center" wrapText="1"/>
    </xf>
    <xf numFmtId="0" fontId="41" fillId="32" borderId="26" xfId="0" applyFont="1" applyFill="1" applyBorder="1" applyAlignment="1">
      <alignment horizontal="justify" wrapText="1"/>
    </xf>
    <xf numFmtId="49" fontId="16" fillId="32" borderId="24" xfId="0" applyNumberFormat="1" applyFont="1" applyFill="1" applyBorder="1" applyAlignment="1">
      <alignment horizontal="center"/>
    </xf>
    <xf numFmtId="0" fontId="16" fillId="32" borderId="14" xfId="0" applyFont="1" applyFill="1" applyBorder="1" applyAlignment="1">
      <alignment horizontal="center" wrapText="1"/>
    </xf>
    <xf numFmtId="49" fontId="16" fillId="32" borderId="13" xfId="0" applyNumberFormat="1" applyFont="1" applyFill="1" applyBorder="1" applyAlignment="1">
      <alignment vertical="center"/>
    </xf>
    <xf numFmtId="49" fontId="16" fillId="32" borderId="14" xfId="0" applyNumberFormat="1" applyFont="1" applyFill="1" applyBorder="1" applyAlignment="1">
      <alignment vertical="center"/>
    </xf>
    <xf numFmtId="49" fontId="16" fillId="32" borderId="21" xfId="0" applyNumberFormat="1" applyFont="1" applyFill="1" applyBorder="1" applyAlignment="1">
      <alignment/>
    </xf>
    <xf numFmtId="0" fontId="15" fillId="32" borderId="17" xfId="0" applyFont="1" applyFill="1" applyBorder="1" applyAlignment="1">
      <alignment horizontal="center" vertical="center" wrapText="1"/>
    </xf>
    <xf numFmtId="0" fontId="41" fillId="32" borderId="36" xfId="0" applyFont="1" applyFill="1" applyBorder="1" applyAlignment="1">
      <alignment wrapText="1"/>
    </xf>
    <xf numFmtId="0" fontId="42" fillId="32" borderId="26" xfId="0" applyFont="1" applyFill="1" applyBorder="1" applyAlignment="1">
      <alignment vertical="center" wrapText="1"/>
    </xf>
    <xf numFmtId="0" fontId="15" fillId="32" borderId="17" xfId="0" applyFont="1" applyFill="1" applyBorder="1" applyAlignment="1">
      <alignment horizontal="center" vertical="center"/>
    </xf>
    <xf numFmtId="0" fontId="41" fillId="32" borderId="17" xfId="0" applyFont="1" applyFill="1" applyBorder="1" applyAlignment="1">
      <alignment horizontal="left"/>
    </xf>
    <xf numFmtId="0" fontId="42" fillId="32" borderId="35" xfId="0" applyFont="1" applyFill="1" applyBorder="1" applyAlignment="1">
      <alignment horizontal="center" wrapText="1"/>
    </xf>
    <xf numFmtId="0" fontId="16" fillId="32" borderId="14" xfId="0" applyFont="1" applyFill="1" applyBorder="1" applyAlignment="1">
      <alignment horizontal="center" vertical="center"/>
    </xf>
    <xf numFmtId="0" fontId="42" fillId="32" borderId="22" xfId="0" applyFont="1" applyFill="1" applyBorder="1" applyAlignment="1">
      <alignment horizontal="center" wrapText="1"/>
    </xf>
    <xf numFmtId="0" fontId="42" fillId="32" borderId="36" xfId="0" applyFont="1" applyFill="1" applyBorder="1" applyAlignment="1">
      <alignment horizontal="center" vertical="center" wrapText="1"/>
    </xf>
    <xf numFmtId="49" fontId="16" fillId="32" borderId="24" xfId="0" applyNumberFormat="1" applyFont="1" applyFill="1" applyBorder="1" applyAlignment="1">
      <alignment horizontal="center" vertical="center"/>
    </xf>
    <xf numFmtId="0" fontId="15" fillId="32" borderId="17" xfId="0" applyFont="1" applyFill="1" applyBorder="1" applyAlignment="1">
      <alignment horizontal="center" wrapText="1"/>
    </xf>
    <xf numFmtId="0" fontId="41" fillId="32" borderId="17" xfId="0" applyFont="1" applyFill="1" applyBorder="1" applyAlignment="1">
      <alignment horizontal="justify" wrapText="1"/>
    </xf>
    <xf numFmtId="49" fontId="16" fillId="32" borderId="25" xfId="0" applyNumberFormat="1" applyFont="1" applyFill="1" applyBorder="1" applyAlignment="1">
      <alignment/>
    </xf>
    <xf numFmtId="49" fontId="16" fillId="32" borderId="26" xfId="0" applyNumberFormat="1" applyFont="1" applyFill="1" applyBorder="1" applyAlignment="1">
      <alignment/>
    </xf>
    <xf numFmtId="49" fontId="16" fillId="32" borderId="28" xfId="0" applyNumberFormat="1" applyFont="1" applyFill="1" applyBorder="1" applyAlignment="1">
      <alignment/>
    </xf>
    <xf numFmtId="0" fontId="16" fillId="32" borderId="22" xfId="0" applyFont="1" applyFill="1" applyBorder="1" applyAlignment="1">
      <alignment horizontal="center" vertical="center"/>
    </xf>
    <xf numFmtId="49" fontId="16" fillId="32" borderId="13" xfId="0" applyNumberFormat="1" applyFont="1" applyFill="1" applyBorder="1" applyAlignment="1">
      <alignment/>
    </xf>
    <xf numFmtId="49" fontId="16" fillId="32" borderId="14" xfId="0" applyNumberFormat="1" applyFont="1" applyFill="1" applyBorder="1" applyAlignment="1">
      <alignment/>
    </xf>
    <xf numFmtId="0" fontId="42" fillId="32" borderId="35" xfId="0" applyFont="1" applyFill="1" applyBorder="1" applyAlignment="1">
      <alignment/>
    </xf>
    <xf numFmtId="0" fontId="41" fillId="32" borderId="17" xfId="0" applyFont="1" applyFill="1" applyBorder="1" applyAlignment="1">
      <alignment wrapText="1"/>
    </xf>
    <xf numFmtId="0" fontId="16" fillId="32" borderId="14" xfId="0" applyFont="1" applyFill="1" applyBorder="1" applyAlignment="1">
      <alignment/>
    </xf>
    <xf numFmtId="0" fontId="16" fillId="32" borderId="26" xfId="0" applyFont="1" applyFill="1" applyBorder="1" applyAlignment="1">
      <alignment horizontal="center" vertical="center" wrapText="1"/>
    </xf>
    <xf numFmtId="0" fontId="42" fillId="32" borderId="33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/>
    </xf>
    <xf numFmtId="0" fontId="8" fillId="32" borderId="56" xfId="0" applyFont="1" applyFill="1" applyBorder="1" applyAlignment="1">
      <alignment horizontal="center" vertical="center"/>
    </xf>
    <xf numFmtId="0" fontId="16" fillId="32" borderId="14" xfId="0" applyFont="1" applyFill="1" applyBorder="1" applyAlignment="1">
      <alignment vertical="center" wrapText="1"/>
    </xf>
    <xf numFmtId="0" fontId="16" fillId="32" borderId="23" xfId="0" applyFont="1" applyFill="1" applyBorder="1" applyAlignment="1">
      <alignment horizontal="center" vertical="center"/>
    </xf>
    <xf numFmtId="0" fontId="16" fillId="32" borderId="22" xfId="0" applyFont="1" applyFill="1" applyBorder="1" applyAlignment="1">
      <alignment vertical="center" wrapText="1"/>
    </xf>
    <xf numFmtId="0" fontId="15" fillId="32" borderId="25" xfId="0" applyFont="1" applyFill="1" applyBorder="1" applyAlignment="1">
      <alignment horizontal="center"/>
    </xf>
    <xf numFmtId="4" fontId="15" fillId="32" borderId="28" xfId="0" applyNumberFormat="1" applyFont="1" applyFill="1" applyBorder="1" applyAlignment="1">
      <alignment vertical="center"/>
    </xf>
    <xf numFmtId="4" fontId="15" fillId="32" borderId="14" xfId="0" applyNumberFormat="1" applyFont="1" applyFill="1" applyBorder="1" applyAlignment="1">
      <alignment vertical="center"/>
    </xf>
    <xf numFmtId="4" fontId="15" fillId="32" borderId="26" xfId="0" applyNumberFormat="1" applyFont="1" applyFill="1" applyBorder="1" applyAlignment="1">
      <alignment vertical="center"/>
    </xf>
    <xf numFmtId="0" fontId="15" fillId="32" borderId="14" xfId="0" applyFont="1" applyFill="1" applyBorder="1" applyAlignment="1">
      <alignment vertical="center"/>
    </xf>
    <xf numFmtId="49" fontId="16" fillId="32" borderId="13" xfId="0" applyNumberFormat="1" applyFont="1" applyFill="1" applyBorder="1" applyAlignment="1">
      <alignment horizontal="center"/>
    </xf>
    <xf numFmtId="49" fontId="16" fillId="32" borderId="14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14" fillId="0" borderId="40" xfId="0" applyFont="1" applyBorder="1" applyAlignment="1">
      <alignment horizontal="center" vertical="center" textRotation="90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0" fontId="29" fillId="32" borderId="14" xfId="0" applyFont="1" applyFill="1" applyBorder="1" applyAlignment="1">
      <alignment vertical="center" wrapText="1"/>
    </xf>
    <xf numFmtId="0" fontId="29" fillId="32" borderId="14" xfId="0" applyFont="1" applyFill="1" applyBorder="1" applyAlignment="1">
      <alignment wrapText="1"/>
    </xf>
    <xf numFmtId="4" fontId="15" fillId="32" borderId="21" xfId="0" applyNumberFormat="1" applyFont="1" applyFill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2" fillId="0" borderId="14" xfId="0" applyFont="1" applyBorder="1" applyAlignment="1">
      <alignment wrapText="1"/>
    </xf>
    <xf numFmtId="0" fontId="15" fillId="32" borderId="13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wrapText="1"/>
    </xf>
    <xf numFmtId="4" fontId="15" fillId="32" borderId="17" xfId="0" applyNumberFormat="1" applyFont="1" applyFill="1" applyBorder="1" applyAlignment="1">
      <alignment vertical="center"/>
    </xf>
    <xf numFmtId="0" fontId="15" fillId="32" borderId="14" xfId="0" applyFont="1" applyFill="1" applyBorder="1" applyAlignment="1">
      <alignment/>
    </xf>
    <xf numFmtId="0" fontId="15" fillId="32" borderId="17" xfId="0" applyFont="1" applyFill="1" applyBorder="1" applyAlignment="1">
      <alignment/>
    </xf>
    <xf numFmtId="0" fontId="15" fillId="32" borderId="18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12" fillId="32" borderId="56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vertical="top" wrapText="1"/>
    </xf>
    <xf numFmtId="0" fontId="40" fillId="33" borderId="44" xfId="0" applyFont="1" applyFill="1" applyBorder="1" applyAlignment="1">
      <alignment horizontal="center" vertical="center"/>
    </xf>
    <xf numFmtId="0" fontId="40" fillId="33" borderId="44" xfId="0" applyFont="1" applyFill="1" applyBorder="1" applyAlignment="1">
      <alignment horizontal="center"/>
    </xf>
    <xf numFmtId="4" fontId="18" fillId="32" borderId="40" xfId="0" applyNumberFormat="1" applyFont="1" applyFill="1" applyBorder="1" applyAlignment="1">
      <alignment/>
    </xf>
    <xf numFmtId="0" fontId="18" fillId="0" borderId="37" xfId="0" applyFont="1" applyBorder="1" applyAlignment="1">
      <alignment vertical="center"/>
    </xf>
    <xf numFmtId="0" fontId="16" fillId="32" borderId="1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2" fillId="32" borderId="14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5" fillId="32" borderId="0" xfId="0" applyFont="1" applyFill="1" applyAlignment="1">
      <alignment horizontal="left" wrapText="1"/>
    </xf>
    <xf numFmtId="0" fontId="42" fillId="32" borderId="17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 horizontal="left" vertical="center"/>
    </xf>
    <xf numFmtId="0" fontId="11" fillId="32" borderId="56" xfId="0" applyFont="1" applyFill="1" applyBorder="1" applyAlignment="1">
      <alignment horizontal="center"/>
    </xf>
    <xf numFmtId="4" fontId="16" fillId="32" borderId="22" xfId="0" applyNumberFormat="1" applyFont="1" applyFill="1" applyBorder="1" applyAlignment="1">
      <alignment/>
    </xf>
    <xf numFmtId="0" fontId="5" fillId="32" borderId="0" xfId="0" applyFont="1" applyFill="1" applyAlignment="1">
      <alignment vertical="center"/>
    </xf>
    <xf numFmtId="0" fontId="18" fillId="32" borderId="0" xfId="0" applyFont="1" applyFill="1" applyAlignment="1">
      <alignment/>
    </xf>
    <xf numFmtId="0" fontId="16" fillId="32" borderId="32" xfId="0" applyFont="1" applyFill="1" applyBorder="1" applyAlignment="1">
      <alignment/>
    </xf>
    <xf numFmtId="4" fontId="16" fillId="32" borderId="32" xfId="0" applyNumberFormat="1" applyFont="1" applyFill="1" applyBorder="1" applyAlignment="1">
      <alignment horizontal="center"/>
    </xf>
    <xf numFmtId="4" fontId="16" fillId="32" borderId="32" xfId="0" applyNumberFormat="1" applyFont="1" applyFill="1" applyBorder="1" applyAlignment="1">
      <alignment horizontal="right"/>
    </xf>
    <xf numFmtId="4" fontId="15" fillId="32" borderId="32" xfId="0" applyNumberFormat="1" applyFont="1" applyFill="1" applyBorder="1" applyAlignment="1">
      <alignment vertical="center"/>
    </xf>
    <xf numFmtId="0" fontId="16" fillId="32" borderId="32" xfId="0" applyFont="1" applyFill="1" applyBorder="1" applyAlignment="1">
      <alignment horizontal="center"/>
    </xf>
    <xf numFmtId="4" fontId="15" fillId="32" borderId="26" xfId="0" applyNumberFormat="1" applyFont="1" applyFill="1" applyBorder="1" applyAlignment="1">
      <alignment vertical="center"/>
    </xf>
    <xf numFmtId="4" fontId="16" fillId="32" borderId="34" xfId="0" applyNumberFormat="1" applyFont="1" applyFill="1" applyBorder="1" applyAlignment="1">
      <alignment vertical="center"/>
    </xf>
    <xf numFmtId="4" fontId="15" fillId="32" borderId="20" xfId="0" applyNumberFormat="1" applyFont="1" applyFill="1" applyBorder="1" applyAlignment="1">
      <alignment horizontal="center" vertical="center"/>
    </xf>
    <xf numFmtId="0" fontId="15" fillId="32" borderId="34" xfId="0" applyFont="1" applyFill="1" applyBorder="1" applyAlignment="1">
      <alignment wrapText="1"/>
    </xf>
    <xf numFmtId="4" fontId="16" fillId="32" borderId="32" xfId="0" applyNumberFormat="1" applyFont="1" applyFill="1" applyBorder="1" applyAlignment="1">
      <alignment horizontal="center" vertical="center"/>
    </xf>
    <xf numFmtId="0" fontId="10" fillId="32" borderId="32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9" fillId="32" borderId="57" xfId="0" applyFont="1" applyFill="1" applyBorder="1" applyAlignment="1">
      <alignment horizontal="center" vertical="center" wrapText="1"/>
    </xf>
    <xf numFmtId="0" fontId="42" fillId="32" borderId="26" xfId="0" applyFont="1" applyFill="1" applyBorder="1" applyAlignment="1">
      <alignment wrapText="1"/>
    </xf>
    <xf numFmtId="0" fontId="29" fillId="32" borderId="14" xfId="0" applyFont="1" applyFill="1" applyBorder="1" applyAlignment="1">
      <alignment horizontal="justify" wrapText="1"/>
    </xf>
    <xf numFmtId="0" fontId="5" fillId="0" borderId="23" xfId="0" applyFont="1" applyBorder="1" applyAlignment="1">
      <alignment horizontal="center"/>
    </xf>
    <xf numFmtId="0" fontId="5" fillId="0" borderId="39" xfId="0" applyFont="1" applyBorder="1" applyAlignment="1">
      <alignment wrapText="1"/>
    </xf>
    <xf numFmtId="0" fontId="5" fillId="0" borderId="13" xfId="0" applyFont="1" applyBorder="1" applyAlignment="1">
      <alignment horizontal="center" vertical="center"/>
    </xf>
    <xf numFmtId="4" fontId="5" fillId="32" borderId="14" xfId="0" applyNumberFormat="1" applyFont="1" applyFill="1" applyBorder="1" applyAlignment="1">
      <alignment/>
    </xf>
    <xf numFmtId="0" fontId="42" fillId="32" borderId="26" xfId="0" applyFont="1" applyFill="1" applyBorder="1" applyAlignment="1">
      <alignment horizontal="left" wrapText="1"/>
    </xf>
    <xf numFmtId="0" fontId="16" fillId="0" borderId="0" xfId="0" applyFont="1" applyBorder="1" applyAlignment="1">
      <alignment/>
    </xf>
    <xf numFmtId="0" fontId="16" fillId="33" borderId="0" xfId="0" applyFont="1" applyFill="1" applyBorder="1" applyAlignment="1">
      <alignment/>
    </xf>
    <xf numFmtId="0" fontId="40" fillId="0" borderId="0" xfId="0" applyFont="1" applyBorder="1" applyAlignment="1">
      <alignment vertical="center" wrapText="1"/>
    </xf>
    <xf numFmtId="0" fontId="15" fillId="32" borderId="0" xfId="0" applyFont="1" applyFill="1" applyBorder="1" applyAlignment="1">
      <alignment vertical="center"/>
    </xf>
    <xf numFmtId="0" fontId="33" fillId="0" borderId="0" xfId="0" applyFont="1" applyBorder="1" applyAlignment="1">
      <alignment/>
    </xf>
    <xf numFmtId="49" fontId="16" fillId="32" borderId="0" xfId="0" applyNumberFormat="1" applyFont="1" applyFill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42" fillId="32" borderId="0" xfId="0" applyFont="1" applyFill="1" applyBorder="1" applyAlignment="1">
      <alignment horizontal="center"/>
    </xf>
    <xf numFmtId="0" fontId="42" fillId="32" borderId="0" xfId="0" applyFont="1" applyFill="1" applyBorder="1" applyAlignment="1">
      <alignment/>
    </xf>
    <xf numFmtId="4" fontId="16" fillId="32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/>
    </xf>
    <xf numFmtId="0" fontId="40" fillId="32" borderId="0" xfId="0" applyFont="1" applyFill="1" applyBorder="1" applyAlignment="1">
      <alignment horizontal="left" vertical="center" wrapText="1"/>
    </xf>
    <xf numFmtId="4" fontId="15" fillId="32" borderId="0" xfId="0" applyNumberFormat="1" applyFont="1" applyFill="1" applyBorder="1" applyAlignment="1">
      <alignment vertical="center"/>
    </xf>
    <xf numFmtId="49" fontId="16" fillId="32" borderId="23" xfId="0" applyNumberFormat="1" applyFont="1" applyFill="1" applyBorder="1" applyAlignment="1">
      <alignment vertical="center"/>
    </xf>
    <xf numFmtId="49" fontId="16" fillId="32" borderId="26" xfId="0" applyNumberFormat="1" applyFont="1" applyFill="1" applyBorder="1" applyAlignment="1">
      <alignment vertical="center"/>
    </xf>
    <xf numFmtId="0" fontId="33" fillId="34" borderId="0" xfId="0" applyFont="1" applyFill="1" applyAlignment="1">
      <alignment/>
    </xf>
    <xf numFmtId="49" fontId="11" fillId="0" borderId="18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4" fontId="11" fillId="32" borderId="19" xfId="0" applyNumberFormat="1" applyFont="1" applyFill="1" applyBorder="1" applyAlignment="1">
      <alignment vertical="center"/>
    </xf>
    <xf numFmtId="49" fontId="11" fillId="0" borderId="30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49" fontId="16" fillId="32" borderId="0" xfId="0" applyNumberFormat="1" applyFont="1" applyFill="1" applyBorder="1" applyAlignment="1">
      <alignment horizontal="center"/>
    </xf>
    <xf numFmtId="0" fontId="14" fillId="32" borderId="23" xfId="0" applyFont="1" applyFill="1" applyBorder="1" applyAlignment="1">
      <alignment horizontal="center" vertical="center" textRotation="90"/>
    </xf>
    <xf numFmtId="0" fontId="14" fillId="32" borderId="22" xfId="0" applyFont="1" applyFill="1" applyBorder="1" applyAlignment="1">
      <alignment horizontal="center" vertical="center" textRotation="90"/>
    </xf>
    <xf numFmtId="0" fontId="14" fillId="32" borderId="40" xfId="0" applyFont="1" applyFill="1" applyBorder="1" applyAlignment="1">
      <alignment horizontal="center" vertical="center" textRotation="90" wrapText="1"/>
    </xf>
    <xf numFmtId="0" fontId="14" fillId="32" borderId="26" xfId="0" applyFont="1" applyFill="1" applyBorder="1" applyAlignment="1">
      <alignment horizontal="center" vertical="center" wrapText="1"/>
    </xf>
    <xf numFmtId="0" fontId="14" fillId="32" borderId="33" xfId="0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/>
    </xf>
    <xf numFmtId="0" fontId="16" fillId="32" borderId="12" xfId="0" applyFont="1" applyFill="1" applyBorder="1" applyAlignment="1">
      <alignment/>
    </xf>
    <xf numFmtId="0" fontId="40" fillId="32" borderId="14" xfId="0" applyFont="1" applyFill="1" applyBorder="1" applyAlignment="1">
      <alignment vertical="center" wrapText="1"/>
    </xf>
    <xf numFmtId="0" fontId="40" fillId="32" borderId="16" xfId="0" applyFont="1" applyFill="1" applyBorder="1" applyAlignment="1">
      <alignment vertical="center" wrapText="1"/>
    </xf>
    <xf numFmtId="0" fontId="40" fillId="32" borderId="26" xfId="0" applyFont="1" applyFill="1" applyBorder="1" applyAlignment="1">
      <alignment vertical="justify"/>
    </xf>
    <xf numFmtId="0" fontId="11" fillId="32" borderId="48" xfId="0" applyFont="1" applyFill="1" applyBorder="1" applyAlignment="1">
      <alignment/>
    </xf>
    <xf numFmtId="0" fontId="46" fillId="32" borderId="48" xfId="0" applyFont="1" applyFill="1" applyBorder="1" applyAlignment="1">
      <alignment/>
    </xf>
    <xf numFmtId="0" fontId="42" fillId="32" borderId="12" xfId="0" applyFont="1" applyFill="1" applyBorder="1" applyAlignment="1">
      <alignment horizontal="center" vertical="center"/>
    </xf>
    <xf numFmtId="0" fontId="11" fillId="32" borderId="26" xfId="0" applyFont="1" applyFill="1" applyBorder="1" applyAlignment="1">
      <alignment/>
    </xf>
    <xf numFmtId="0" fontId="46" fillId="32" borderId="26" xfId="0" applyFont="1" applyFill="1" applyBorder="1" applyAlignment="1">
      <alignment/>
    </xf>
    <xf numFmtId="0" fontId="11" fillId="32" borderId="22" xfId="0" applyFont="1" applyFill="1" applyBorder="1" applyAlignment="1">
      <alignment/>
    </xf>
    <xf numFmtId="0" fontId="46" fillId="32" borderId="22" xfId="0" applyFont="1" applyFill="1" applyBorder="1" applyAlignment="1">
      <alignment/>
    </xf>
    <xf numFmtId="0" fontId="11" fillId="32" borderId="14" xfId="0" applyFont="1" applyFill="1" applyBorder="1" applyAlignment="1">
      <alignment/>
    </xf>
    <xf numFmtId="0" fontId="46" fillId="32" borderId="14" xfId="0" applyFont="1" applyFill="1" applyBorder="1" applyAlignment="1">
      <alignment/>
    </xf>
    <xf numFmtId="0" fontId="42" fillId="32" borderId="17" xfId="0" applyFont="1" applyFill="1" applyBorder="1" applyAlignment="1">
      <alignment horizontal="center" vertical="center" wrapText="1"/>
    </xf>
    <xf numFmtId="0" fontId="40" fillId="32" borderId="14" xfId="0" applyFont="1" applyFill="1" applyBorder="1" applyAlignment="1">
      <alignment horizontal="center" vertical="center"/>
    </xf>
    <xf numFmtId="0" fontId="16" fillId="32" borderId="22" xfId="0" applyFont="1" applyFill="1" applyBorder="1" applyAlignment="1">
      <alignment/>
    </xf>
    <xf numFmtId="0" fontId="16" fillId="32" borderId="22" xfId="0" applyFont="1" applyFill="1" applyBorder="1" applyAlignment="1">
      <alignment/>
    </xf>
    <xf numFmtId="0" fontId="42" fillId="32" borderId="35" xfId="0" applyFont="1" applyFill="1" applyBorder="1" applyAlignment="1">
      <alignment vertical="center"/>
    </xf>
    <xf numFmtId="0" fontId="42" fillId="32" borderId="36" xfId="0" applyFont="1" applyFill="1" applyBorder="1" applyAlignment="1">
      <alignment vertical="center" wrapText="1"/>
    </xf>
    <xf numFmtId="0" fontId="42" fillId="32" borderId="17" xfId="0" applyFont="1" applyFill="1" applyBorder="1" applyAlignment="1">
      <alignment horizontal="left" wrapText="1"/>
    </xf>
    <xf numFmtId="49" fontId="16" fillId="32" borderId="23" xfId="0" applyNumberFormat="1" applyFont="1" applyFill="1" applyBorder="1" applyAlignment="1">
      <alignment horizontal="center" vertical="center"/>
    </xf>
    <xf numFmtId="0" fontId="42" fillId="32" borderId="22" xfId="0" applyFont="1" applyFill="1" applyBorder="1" applyAlignment="1">
      <alignment horizontal="center" vertical="center"/>
    </xf>
    <xf numFmtId="0" fontId="42" fillId="32" borderId="37" xfId="0" applyFont="1" applyFill="1" applyBorder="1" applyAlignment="1">
      <alignment vertical="center"/>
    </xf>
    <xf numFmtId="0" fontId="42" fillId="32" borderId="22" xfId="0" applyFont="1" applyFill="1" applyBorder="1" applyAlignment="1">
      <alignment horizontal="left" vertical="center" wrapText="1"/>
    </xf>
    <xf numFmtId="49" fontId="16" fillId="32" borderId="15" xfId="0" applyNumberFormat="1" applyFont="1" applyFill="1" applyBorder="1" applyAlignment="1">
      <alignment/>
    </xf>
    <xf numFmtId="49" fontId="16" fillId="32" borderId="16" xfId="0" applyNumberFormat="1" applyFont="1" applyFill="1" applyBorder="1" applyAlignment="1">
      <alignment/>
    </xf>
    <xf numFmtId="0" fontId="40" fillId="32" borderId="38" xfId="0" applyFont="1" applyFill="1" applyBorder="1" applyAlignment="1">
      <alignment horizontal="center" vertical="center"/>
    </xf>
    <xf numFmtId="0" fontId="40" fillId="32" borderId="38" xfId="0" applyFont="1" applyFill="1" applyBorder="1" applyAlignment="1">
      <alignment horizontal="center"/>
    </xf>
    <xf numFmtId="49" fontId="16" fillId="32" borderId="21" xfId="0" applyNumberFormat="1" applyFont="1" applyFill="1" applyBorder="1" applyAlignment="1">
      <alignment horizontal="center"/>
    </xf>
    <xf numFmtId="0" fontId="41" fillId="32" borderId="17" xfId="0" applyFont="1" applyFill="1" applyBorder="1" applyAlignment="1">
      <alignment vertical="center" wrapText="1"/>
    </xf>
    <xf numFmtId="0" fontId="42" fillId="32" borderId="26" xfId="0" applyFont="1" applyFill="1" applyBorder="1" applyAlignment="1">
      <alignment horizontal="center" wrapText="1"/>
    </xf>
    <xf numFmtId="49" fontId="16" fillId="32" borderId="46" xfId="0" applyNumberFormat="1" applyFont="1" applyFill="1" applyBorder="1" applyAlignment="1">
      <alignment/>
    </xf>
    <xf numFmtId="49" fontId="16" fillId="32" borderId="20" xfId="0" applyNumberFormat="1" applyFont="1" applyFill="1" applyBorder="1" applyAlignment="1">
      <alignment/>
    </xf>
    <xf numFmtId="49" fontId="16" fillId="32" borderId="47" xfId="0" applyNumberFormat="1" applyFont="1" applyFill="1" applyBorder="1" applyAlignment="1">
      <alignment/>
    </xf>
    <xf numFmtId="0" fontId="40" fillId="32" borderId="19" xfId="0" applyFont="1" applyFill="1" applyBorder="1" applyAlignment="1">
      <alignment horizontal="justify" vertical="center" wrapText="1"/>
    </xf>
    <xf numFmtId="0" fontId="40" fillId="32" borderId="19" xfId="0" applyFont="1" applyFill="1" applyBorder="1" applyAlignment="1">
      <alignment vertical="center" wrapText="1"/>
    </xf>
    <xf numFmtId="49" fontId="16" fillId="32" borderId="30" xfId="0" applyNumberFormat="1" applyFont="1" applyFill="1" applyBorder="1" applyAlignment="1">
      <alignment/>
    </xf>
    <xf numFmtId="49" fontId="16" fillId="32" borderId="19" xfId="0" applyNumberFormat="1" applyFont="1" applyFill="1" applyBorder="1" applyAlignment="1">
      <alignment/>
    </xf>
    <xf numFmtId="0" fontId="5" fillId="32" borderId="0" xfId="0" applyFont="1" applyFill="1" applyAlignment="1">
      <alignment horizontal="left"/>
    </xf>
    <xf numFmtId="0" fontId="8" fillId="32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16" fillId="32" borderId="22" xfId="0" applyNumberFormat="1" applyFont="1" applyFill="1" applyBorder="1" applyAlignment="1">
      <alignment vertical="center"/>
    </xf>
    <xf numFmtId="0" fontId="15" fillId="32" borderId="31" xfId="0" applyFont="1" applyFill="1" applyBorder="1" applyAlignment="1">
      <alignment vertical="center" wrapText="1"/>
    </xf>
    <xf numFmtId="0" fontId="16" fillId="32" borderId="14" xfId="0" applyFont="1" applyFill="1" applyBorder="1" applyAlignment="1">
      <alignment vertical="center"/>
    </xf>
    <xf numFmtId="0" fontId="16" fillId="32" borderId="26" xfId="0" applyFont="1" applyFill="1" applyBorder="1" applyAlignment="1">
      <alignment/>
    </xf>
    <xf numFmtId="4" fontId="16" fillId="32" borderId="22" xfId="0" applyNumberFormat="1" applyFont="1" applyFill="1" applyBorder="1" applyAlignment="1">
      <alignment/>
    </xf>
    <xf numFmtId="0" fontId="16" fillId="32" borderId="14" xfId="0" applyFont="1" applyFill="1" applyBorder="1" applyAlignment="1">
      <alignment wrapText="1"/>
    </xf>
    <xf numFmtId="0" fontId="16" fillId="32" borderId="13" xfId="0" applyFont="1" applyFill="1" applyBorder="1" applyAlignment="1">
      <alignment horizontal="center"/>
    </xf>
    <xf numFmtId="0" fontId="16" fillId="32" borderId="14" xfId="0" applyFont="1" applyFill="1" applyBorder="1" applyAlignment="1">
      <alignment/>
    </xf>
    <xf numFmtId="0" fontId="18" fillId="0" borderId="21" xfId="0" applyFont="1" applyBorder="1" applyAlignment="1">
      <alignment horizontal="left" vertical="center" wrapText="1"/>
    </xf>
    <xf numFmtId="0" fontId="15" fillId="32" borderId="19" xfId="0" applyFont="1" applyFill="1" applyBorder="1" applyAlignment="1">
      <alignment vertical="center" wrapText="1"/>
    </xf>
    <xf numFmtId="49" fontId="16" fillId="32" borderId="25" xfId="0" applyNumberFormat="1" applyFont="1" applyFill="1" applyBorder="1" applyAlignment="1">
      <alignment horizontal="center"/>
    </xf>
    <xf numFmtId="49" fontId="16" fillId="32" borderId="26" xfId="0" applyNumberFormat="1" applyFont="1" applyFill="1" applyBorder="1" applyAlignment="1">
      <alignment horizontal="center"/>
    </xf>
    <xf numFmtId="49" fontId="16" fillId="32" borderId="28" xfId="0" applyNumberFormat="1" applyFont="1" applyFill="1" applyBorder="1" applyAlignment="1">
      <alignment horizontal="center"/>
    </xf>
    <xf numFmtId="0" fontId="42" fillId="32" borderId="26" xfId="0" applyFont="1" applyFill="1" applyBorder="1" applyAlignment="1">
      <alignment horizontal="center"/>
    </xf>
    <xf numFmtId="49" fontId="16" fillId="32" borderId="24" xfId="0" applyNumberFormat="1" applyFont="1" applyFill="1" applyBorder="1" applyAlignment="1">
      <alignment horizontal="center"/>
    </xf>
    <xf numFmtId="0" fontId="18" fillId="0" borderId="27" xfId="0" applyFont="1" applyBorder="1" applyAlignment="1">
      <alignment/>
    </xf>
    <xf numFmtId="0" fontId="42" fillId="32" borderId="26" xfId="0" applyFont="1" applyFill="1" applyBorder="1" applyAlignment="1">
      <alignment horizontal="justify" wrapText="1"/>
    </xf>
    <xf numFmtId="0" fontId="29" fillId="32" borderId="14" xfId="0" applyFont="1" applyFill="1" applyBorder="1" applyAlignment="1">
      <alignment horizontal="justify" vertical="center" wrapText="1"/>
    </xf>
    <xf numFmtId="0" fontId="42" fillId="32" borderId="37" xfId="0" applyFont="1" applyFill="1" applyBorder="1" applyAlignment="1">
      <alignment/>
    </xf>
    <xf numFmtId="0" fontId="11" fillId="0" borderId="14" xfId="0" applyFont="1" applyBorder="1" applyAlignment="1">
      <alignment horizontal="left" vertical="center" wrapText="1"/>
    </xf>
    <xf numFmtId="0" fontId="15" fillId="34" borderId="16" xfId="0" applyFont="1" applyFill="1" applyBorder="1" applyAlignment="1">
      <alignment horizontal="left" vertical="center" wrapText="1"/>
    </xf>
    <xf numFmtId="4" fontId="15" fillId="34" borderId="16" xfId="0" applyNumberFormat="1" applyFont="1" applyFill="1" applyBorder="1" applyAlignment="1">
      <alignment horizontal="right" vertical="center" wrapText="1"/>
    </xf>
    <xf numFmtId="0" fontId="36" fillId="33" borderId="0" xfId="0" applyFont="1" applyFill="1" applyAlignment="1">
      <alignment/>
    </xf>
    <xf numFmtId="0" fontId="28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4" fontId="5" fillId="32" borderId="40" xfId="0" applyNumberFormat="1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11" fillId="32" borderId="0" xfId="0" applyNumberFormat="1" applyFont="1" applyFill="1" applyBorder="1" applyAlignment="1">
      <alignment vertical="center"/>
    </xf>
    <xf numFmtId="4" fontId="11" fillId="32" borderId="0" xfId="0" applyNumberFormat="1" applyFont="1" applyFill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9" fillId="32" borderId="17" xfId="0" applyFont="1" applyFill="1" applyBorder="1" applyAlignment="1">
      <alignment vertical="center" wrapText="1"/>
    </xf>
    <xf numFmtId="49" fontId="16" fillId="0" borderId="26" xfId="0" applyNumberFormat="1" applyFont="1" applyBorder="1" applyAlignment="1">
      <alignment horizontal="center" vertical="center"/>
    </xf>
    <xf numFmtId="49" fontId="42" fillId="0" borderId="18" xfId="0" applyNumberFormat="1" applyFont="1" applyBorder="1" applyAlignment="1">
      <alignment horizontal="center"/>
    </xf>
    <xf numFmtId="49" fontId="42" fillId="0" borderId="17" xfId="0" applyNumberFormat="1" applyFont="1" applyBorder="1" applyAlignment="1">
      <alignment horizontal="center"/>
    </xf>
    <xf numFmtId="49" fontId="16" fillId="32" borderId="22" xfId="0" applyNumberFormat="1" applyFont="1" applyFill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/>
    </xf>
    <xf numFmtId="4" fontId="33" fillId="0" borderId="0" xfId="0" applyNumberFormat="1" applyFont="1" applyAlignment="1">
      <alignment horizontal="center"/>
    </xf>
    <xf numFmtId="0" fontId="53" fillId="0" borderId="0" xfId="58" applyFont="1" applyAlignment="1">
      <alignment horizontal="center" vertical="center"/>
      <protection/>
    </xf>
    <xf numFmtId="0" fontId="54" fillId="35" borderId="14" xfId="58" applyFont="1" applyFill="1" applyBorder="1" applyAlignment="1">
      <alignment horizontal="center" vertical="center" wrapText="1"/>
      <protection/>
    </xf>
    <xf numFmtId="49" fontId="54" fillId="35" borderId="14" xfId="58" applyNumberFormat="1" applyFont="1" applyFill="1" applyBorder="1" applyAlignment="1">
      <alignment horizontal="center" vertical="center" wrapText="1"/>
      <protection/>
    </xf>
    <xf numFmtId="4" fontId="54" fillId="35" borderId="14" xfId="58" applyNumberFormat="1" applyFont="1" applyFill="1" applyBorder="1" applyAlignment="1">
      <alignment horizontal="center" vertical="center" wrapText="1"/>
      <protection/>
    </xf>
    <xf numFmtId="49" fontId="53" fillId="0" borderId="14" xfId="58" applyNumberFormat="1" applyFont="1" applyBorder="1" applyAlignment="1">
      <alignment horizontal="center" vertical="center" wrapText="1"/>
      <protection/>
    </xf>
    <xf numFmtId="0" fontId="53" fillId="0" borderId="14" xfId="58" applyFont="1" applyBorder="1" applyAlignment="1">
      <alignment horizontal="center" vertical="center" wrapText="1"/>
      <protection/>
    </xf>
    <xf numFmtId="8" fontId="53" fillId="0" borderId="14" xfId="58" applyNumberFormat="1" applyFont="1" applyBorder="1" applyAlignment="1">
      <alignment horizontal="center" vertical="center" wrapText="1"/>
      <protection/>
    </xf>
    <xf numFmtId="8" fontId="53" fillId="0" borderId="14" xfId="58" applyNumberFormat="1" applyFont="1" applyBorder="1" applyAlignment="1">
      <alignment horizontal="center" vertical="center"/>
      <protection/>
    </xf>
    <xf numFmtId="49" fontId="54" fillId="0" borderId="14" xfId="58" applyNumberFormat="1" applyFont="1" applyBorder="1" applyAlignment="1">
      <alignment horizontal="center" vertical="center" wrapText="1"/>
      <protection/>
    </xf>
    <xf numFmtId="4" fontId="54" fillId="0" borderId="14" xfId="58" applyNumberFormat="1" applyFont="1" applyBorder="1" applyAlignment="1">
      <alignment horizontal="center" vertical="center" wrapText="1"/>
      <protection/>
    </xf>
    <xf numFmtId="4" fontId="53" fillId="0" borderId="14" xfId="58" applyNumberFormat="1" applyFont="1" applyBorder="1" applyAlignment="1">
      <alignment horizontal="center" vertical="center"/>
      <protection/>
    </xf>
    <xf numFmtId="0" fontId="53" fillId="0" borderId="14" xfId="58" applyFont="1" applyBorder="1" applyAlignment="1">
      <alignment horizontal="center" vertical="center"/>
      <protection/>
    </xf>
    <xf numFmtId="8" fontId="54" fillId="0" borderId="14" xfId="58" applyNumberFormat="1" applyFont="1" applyBorder="1" applyAlignment="1">
      <alignment horizontal="center" vertical="center" wrapText="1"/>
      <protection/>
    </xf>
    <xf numFmtId="4" fontId="53" fillId="0" borderId="0" xfId="58" applyNumberFormat="1" applyFont="1" applyAlignment="1">
      <alignment horizontal="center" vertical="center"/>
      <protection/>
    </xf>
    <xf numFmtId="0" fontId="53" fillId="0" borderId="14" xfId="59" applyFont="1" applyBorder="1" applyAlignment="1">
      <alignment horizontal="center" vertical="center" wrapText="1"/>
      <protection/>
    </xf>
    <xf numFmtId="0" fontId="53" fillId="36" borderId="14" xfId="58" applyFont="1" applyFill="1" applyBorder="1" applyAlignment="1">
      <alignment horizontal="center" vertical="center" wrapText="1"/>
      <protection/>
    </xf>
    <xf numFmtId="4" fontId="54" fillId="0" borderId="14" xfId="58" applyNumberFormat="1" applyFont="1" applyBorder="1" applyAlignment="1">
      <alignment horizontal="center" vertical="center"/>
      <protection/>
    </xf>
    <xf numFmtId="8" fontId="54" fillId="0" borderId="14" xfId="58" applyNumberFormat="1" applyFont="1" applyBorder="1" applyAlignment="1">
      <alignment horizontal="center" vertical="center"/>
      <protection/>
    </xf>
    <xf numFmtId="0" fontId="54" fillId="35" borderId="14" xfId="58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left"/>
    </xf>
    <xf numFmtId="0" fontId="15" fillId="32" borderId="25" xfId="0" applyFont="1" applyFill="1" applyBorder="1" applyAlignment="1">
      <alignment horizontal="center" vertical="center" wrapText="1"/>
    </xf>
    <xf numFmtId="0" fontId="16" fillId="32" borderId="32" xfId="0" applyFont="1" applyFill="1" applyBorder="1" applyAlignment="1">
      <alignment wrapText="1"/>
    </xf>
    <xf numFmtId="0" fontId="16" fillId="32" borderId="34" xfId="0" applyFont="1" applyFill="1" applyBorder="1" applyAlignment="1">
      <alignment wrapText="1"/>
    </xf>
    <xf numFmtId="0" fontId="15" fillId="32" borderId="17" xfId="0" applyFont="1" applyFill="1" applyBorder="1" applyAlignment="1">
      <alignment vertical="center" wrapText="1"/>
    </xf>
    <xf numFmtId="0" fontId="15" fillId="32" borderId="26" xfId="0" applyFont="1" applyFill="1" applyBorder="1" applyAlignment="1">
      <alignment vertical="center" wrapText="1"/>
    </xf>
    <xf numFmtId="0" fontId="14" fillId="32" borderId="57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/>
    </xf>
    <xf numFmtId="0" fontId="14" fillId="32" borderId="32" xfId="0" applyFont="1" applyFill="1" applyBorder="1" applyAlignment="1">
      <alignment horizontal="center" vertical="center"/>
    </xf>
    <xf numFmtId="0" fontId="16" fillId="32" borderId="32" xfId="0" applyFont="1" applyFill="1" applyBorder="1" applyAlignment="1">
      <alignment/>
    </xf>
    <xf numFmtId="0" fontId="16" fillId="32" borderId="34" xfId="0" applyFont="1" applyFill="1" applyBorder="1" applyAlignment="1">
      <alignment/>
    </xf>
    <xf numFmtId="4" fontId="16" fillId="32" borderId="40" xfId="0" applyNumberFormat="1" applyFont="1" applyFill="1" applyBorder="1" applyAlignment="1">
      <alignment/>
    </xf>
    <xf numFmtId="4" fontId="16" fillId="32" borderId="55" xfId="0" applyNumberFormat="1" applyFont="1" applyFill="1" applyBorder="1" applyAlignment="1">
      <alignment/>
    </xf>
    <xf numFmtId="4" fontId="16" fillId="32" borderId="40" xfId="0" applyNumberFormat="1" applyFont="1" applyFill="1" applyBorder="1" applyAlignment="1">
      <alignment vertical="center"/>
    </xf>
    <xf numFmtId="4" fontId="16" fillId="32" borderId="55" xfId="0" applyNumberFormat="1" applyFont="1" applyFill="1" applyBorder="1" applyAlignment="1">
      <alignment vertical="center"/>
    </xf>
    <xf numFmtId="4" fontId="16" fillId="32" borderId="21" xfId="0" applyNumberFormat="1" applyFont="1" applyFill="1" applyBorder="1" applyAlignment="1">
      <alignment/>
    </xf>
    <xf numFmtId="4" fontId="16" fillId="32" borderId="32" xfId="0" applyNumberFormat="1" applyFont="1" applyFill="1" applyBorder="1" applyAlignment="1">
      <alignment/>
    </xf>
    <xf numFmtId="4" fontId="15" fillId="32" borderId="16" xfId="0" applyNumberFormat="1" applyFont="1" applyFill="1" applyBorder="1" applyAlignment="1">
      <alignment vertical="center"/>
    </xf>
    <xf numFmtId="4" fontId="15" fillId="32" borderId="43" xfId="0" applyNumberFormat="1" applyFont="1" applyFill="1" applyBorder="1" applyAlignment="1">
      <alignment vertical="center"/>
    </xf>
    <xf numFmtId="4" fontId="15" fillId="32" borderId="58" xfId="0" applyNumberFormat="1" applyFont="1" applyFill="1" applyBorder="1" applyAlignment="1">
      <alignment vertical="center"/>
    </xf>
    <xf numFmtId="4" fontId="15" fillId="32" borderId="14" xfId="0" applyNumberFormat="1" applyFont="1" applyFill="1" applyBorder="1" applyAlignment="1">
      <alignment vertical="center"/>
    </xf>
    <xf numFmtId="4" fontId="15" fillId="32" borderId="24" xfId="0" applyNumberFormat="1" applyFont="1" applyFill="1" applyBorder="1" applyAlignment="1">
      <alignment vertical="center"/>
    </xf>
    <xf numFmtId="4" fontId="15" fillId="32" borderId="56" xfId="0" applyNumberFormat="1" applyFont="1" applyFill="1" applyBorder="1" applyAlignment="1">
      <alignment vertical="center"/>
    </xf>
    <xf numFmtId="4" fontId="15" fillId="32" borderId="19" xfId="0" applyNumberFormat="1" applyFont="1" applyFill="1" applyBorder="1" applyAlignment="1">
      <alignment vertical="center"/>
    </xf>
    <xf numFmtId="4" fontId="15" fillId="32" borderId="53" xfId="0" applyNumberFormat="1" applyFont="1" applyFill="1" applyBorder="1" applyAlignment="1">
      <alignment vertical="center"/>
    </xf>
    <xf numFmtId="4" fontId="15" fillId="32" borderId="59" xfId="0" applyNumberFormat="1" applyFont="1" applyFill="1" applyBorder="1" applyAlignment="1">
      <alignment vertical="center"/>
    </xf>
    <xf numFmtId="0" fontId="43" fillId="32" borderId="21" xfId="0" applyFont="1" applyFill="1" applyBorder="1" applyAlignment="1">
      <alignment/>
    </xf>
    <xf numFmtId="0" fontId="43" fillId="32" borderId="32" xfId="0" applyFont="1" applyFill="1" applyBorder="1" applyAlignment="1">
      <alignment/>
    </xf>
    <xf numFmtId="0" fontId="43" fillId="32" borderId="28" xfId="0" applyFont="1" applyFill="1" applyBorder="1" applyAlignment="1">
      <alignment/>
    </xf>
    <xf numFmtId="0" fontId="43" fillId="32" borderId="34" xfId="0" applyFont="1" applyFill="1" applyBorder="1" applyAlignment="1">
      <alignment/>
    </xf>
    <xf numFmtId="4" fontId="16" fillId="32" borderId="28" xfId="0" applyNumberFormat="1" applyFont="1" applyFill="1" applyBorder="1" applyAlignment="1">
      <alignment vertical="center"/>
    </xf>
    <xf numFmtId="4" fontId="16" fillId="32" borderId="34" xfId="0" applyNumberFormat="1" applyFont="1" applyFill="1" applyBorder="1" applyAlignment="1">
      <alignment vertical="center"/>
    </xf>
    <xf numFmtId="0" fontId="15" fillId="32" borderId="28" xfId="0" applyFont="1" applyFill="1" applyBorder="1" applyAlignment="1">
      <alignment vertical="center"/>
    </xf>
    <xf numFmtId="0" fontId="15" fillId="32" borderId="34" xfId="0" applyFont="1" applyFill="1" applyBorder="1" applyAlignment="1">
      <alignment vertical="center"/>
    </xf>
    <xf numFmtId="0" fontId="15" fillId="32" borderId="24" xfId="0" applyFont="1" applyFill="1" applyBorder="1" applyAlignment="1">
      <alignment vertical="center"/>
    </xf>
    <xf numFmtId="0" fontId="15" fillId="32" borderId="56" xfId="0" applyFont="1" applyFill="1" applyBorder="1" applyAlignment="1">
      <alignment vertical="center"/>
    </xf>
    <xf numFmtId="0" fontId="15" fillId="32" borderId="43" xfId="0" applyFont="1" applyFill="1" applyBorder="1" applyAlignment="1">
      <alignment vertical="center"/>
    </xf>
    <xf numFmtId="0" fontId="15" fillId="32" borderId="58" xfId="0" applyFont="1" applyFill="1" applyBorder="1" applyAlignment="1">
      <alignment vertical="center"/>
    </xf>
    <xf numFmtId="4" fontId="16" fillId="32" borderId="28" xfId="0" applyNumberFormat="1" applyFont="1" applyFill="1" applyBorder="1" applyAlignment="1">
      <alignment/>
    </xf>
    <xf numFmtId="4" fontId="16" fillId="32" borderId="24" xfId="0" applyNumberFormat="1" applyFont="1" applyFill="1" applyBorder="1" applyAlignment="1">
      <alignment/>
    </xf>
    <xf numFmtId="4" fontId="15" fillId="32" borderId="26" xfId="0" applyNumberFormat="1" applyFont="1" applyFill="1" applyBorder="1" applyAlignment="1">
      <alignment vertical="center"/>
    </xf>
    <xf numFmtId="4" fontId="15" fillId="32" borderId="28" xfId="0" applyNumberFormat="1" applyFont="1" applyFill="1" applyBorder="1" applyAlignment="1">
      <alignment vertical="center"/>
    </xf>
    <xf numFmtId="4" fontId="15" fillId="32" borderId="34" xfId="0" applyNumberFormat="1" applyFont="1" applyFill="1" applyBorder="1" applyAlignment="1">
      <alignment vertical="center"/>
    </xf>
    <xf numFmtId="4" fontId="15" fillId="32" borderId="31" xfId="0" applyNumberFormat="1" applyFont="1" applyFill="1" applyBorder="1" applyAlignment="1">
      <alignment vertical="center"/>
    </xf>
    <xf numFmtId="4" fontId="15" fillId="32" borderId="60" xfId="0" applyNumberFormat="1" applyFont="1" applyFill="1" applyBorder="1" applyAlignment="1">
      <alignment vertical="center"/>
    </xf>
    <xf numFmtId="4" fontId="15" fillId="32" borderId="61" xfId="0" applyNumberFormat="1" applyFont="1" applyFill="1" applyBorder="1" applyAlignment="1">
      <alignment vertical="center"/>
    </xf>
    <xf numFmtId="0" fontId="15" fillId="32" borderId="40" xfId="0" applyFont="1" applyFill="1" applyBorder="1" applyAlignment="1">
      <alignment vertical="center"/>
    </xf>
    <xf numFmtId="4" fontId="16" fillId="32" borderId="40" xfId="0" applyNumberFormat="1" applyFont="1" applyFill="1" applyBorder="1" applyAlignment="1">
      <alignment/>
    </xf>
    <xf numFmtId="4" fontId="15" fillId="32" borderId="12" xfId="0" applyNumberFormat="1" applyFont="1" applyFill="1" applyBorder="1" applyAlignment="1">
      <alignment vertical="center"/>
    </xf>
    <xf numFmtId="4" fontId="15" fillId="32" borderId="62" xfId="0" applyNumberFormat="1" applyFont="1" applyFill="1" applyBorder="1" applyAlignment="1">
      <alignment vertical="center"/>
    </xf>
    <xf numFmtId="4" fontId="15" fillId="32" borderId="57" xfId="0" applyNumberFormat="1" applyFont="1" applyFill="1" applyBorder="1" applyAlignment="1">
      <alignment vertical="center"/>
    </xf>
    <xf numFmtId="0" fontId="15" fillId="32" borderId="26" xfId="0" applyFont="1" applyFill="1" applyBorder="1" applyAlignment="1">
      <alignment vertical="center"/>
    </xf>
    <xf numFmtId="0" fontId="15" fillId="32" borderId="16" xfId="0" applyFont="1" applyFill="1" applyBorder="1" applyAlignment="1">
      <alignment vertical="center"/>
    </xf>
    <xf numFmtId="4" fontId="15" fillId="32" borderId="17" xfId="0" applyNumberFormat="1" applyFont="1" applyFill="1" applyBorder="1" applyAlignment="1">
      <alignment vertical="center"/>
    </xf>
    <xf numFmtId="4" fontId="15" fillId="32" borderId="21" xfId="0" applyNumberFormat="1" applyFont="1" applyFill="1" applyBorder="1" applyAlignment="1">
      <alignment vertical="center"/>
    </xf>
    <xf numFmtId="4" fontId="15" fillId="32" borderId="32" xfId="0" applyNumberFormat="1" applyFont="1" applyFill="1" applyBorder="1" applyAlignment="1">
      <alignment vertical="center"/>
    </xf>
    <xf numFmtId="0" fontId="15" fillId="32" borderId="63" xfId="0" applyFont="1" applyFill="1" applyBorder="1" applyAlignment="1">
      <alignment vertical="center"/>
    </xf>
    <xf numFmtId="0" fontId="15" fillId="32" borderId="64" xfId="0" applyFont="1" applyFill="1" applyBorder="1" applyAlignment="1">
      <alignment vertical="center"/>
    </xf>
    <xf numFmtId="0" fontId="15" fillId="32" borderId="53" xfId="0" applyFont="1" applyFill="1" applyBorder="1" applyAlignment="1">
      <alignment vertical="center"/>
    </xf>
    <xf numFmtId="0" fontId="15" fillId="32" borderId="59" xfId="0" applyFont="1" applyFill="1" applyBorder="1" applyAlignment="1">
      <alignment vertical="center"/>
    </xf>
    <xf numFmtId="4" fontId="16" fillId="32" borderId="34" xfId="0" applyNumberFormat="1" applyFont="1" applyFill="1" applyBorder="1" applyAlignment="1">
      <alignment/>
    </xf>
    <xf numFmtId="4" fontId="16" fillId="32" borderId="24" xfId="0" applyNumberFormat="1" applyFont="1" applyFill="1" applyBorder="1" applyAlignment="1">
      <alignment vertical="center"/>
    </xf>
    <xf numFmtId="4" fontId="16" fillId="32" borderId="56" xfId="0" applyNumberFormat="1" applyFont="1" applyFill="1" applyBorder="1" applyAlignment="1">
      <alignment vertical="center"/>
    </xf>
    <xf numFmtId="4" fontId="15" fillId="32" borderId="14" xfId="0" applyNumberFormat="1" applyFont="1" applyFill="1" applyBorder="1" applyAlignment="1">
      <alignment/>
    </xf>
    <xf numFmtId="4" fontId="15" fillId="32" borderId="24" xfId="0" applyNumberFormat="1" applyFont="1" applyFill="1" applyBorder="1" applyAlignment="1">
      <alignment/>
    </xf>
    <xf numFmtId="4" fontId="15" fillId="32" borderId="56" xfId="0" applyNumberFormat="1" applyFont="1" applyFill="1" applyBorder="1" applyAlignment="1">
      <alignment/>
    </xf>
    <xf numFmtId="4" fontId="15" fillId="32" borderId="21" xfId="0" applyNumberFormat="1" applyFont="1" applyFill="1" applyBorder="1" applyAlignment="1">
      <alignment/>
    </xf>
    <xf numFmtId="4" fontId="15" fillId="32" borderId="32" xfId="0" applyNumberFormat="1" applyFont="1" applyFill="1" applyBorder="1" applyAlignment="1">
      <alignment/>
    </xf>
    <xf numFmtId="4" fontId="15" fillId="32" borderId="24" xfId="0" applyNumberFormat="1" applyFont="1" applyFill="1" applyBorder="1" applyAlignment="1">
      <alignment vertical="center"/>
    </xf>
    <xf numFmtId="4" fontId="15" fillId="32" borderId="56" xfId="0" applyNumberFormat="1" applyFont="1" applyFill="1" applyBorder="1" applyAlignment="1">
      <alignment vertical="center"/>
    </xf>
    <xf numFmtId="0" fontId="11" fillId="32" borderId="21" xfId="0" applyFont="1" applyFill="1" applyBorder="1" applyAlignment="1">
      <alignment/>
    </xf>
    <xf numFmtId="0" fontId="11" fillId="32" borderId="32" xfId="0" applyFont="1" applyFill="1" applyBorder="1" applyAlignment="1">
      <alignment/>
    </xf>
    <xf numFmtId="0" fontId="15" fillId="32" borderId="21" xfId="0" applyFont="1" applyFill="1" applyBorder="1" applyAlignment="1">
      <alignment horizontal="center" vertical="center"/>
    </xf>
    <xf numFmtId="0" fontId="15" fillId="32" borderId="32" xfId="0" applyFont="1" applyFill="1" applyBorder="1" applyAlignment="1">
      <alignment horizontal="center" vertical="center"/>
    </xf>
    <xf numFmtId="4" fontId="50" fillId="32" borderId="28" xfId="0" applyNumberFormat="1" applyFont="1" applyFill="1" applyBorder="1" applyAlignment="1">
      <alignment vertical="center"/>
    </xf>
    <xf numFmtId="4" fontId="50" fillId="32" borderId="34" xfId="0" applyNumberFormat="1" applyFont="1" applyFill="1" applyBorder="1" applyAlignment="1">
      <alignment vertical="center"/>
    </xf>
    <xf numFmtId="4" fontId="15" fillId="32" borderId="14" xfId="0" applyNumberFormat="1" applyFont="1" applyFill="1" applyBorder="1" applyAlignment="1">
      <alignment horizontal="right" vertical="center"/>
    </xf>
    <xf numFmtId="4" fontId="15" fillId="32" borderId="24" xfId="0" applyNumberFormat="1" applyFont="1" applyFill="1" applyBorder="1" applyAlignment="1">
      <alignment horizontal="right" vertical="center"/>
    </xf>
    <xf numFmtId="4" fontId="15" fillId="32" borderId="56" xfId="0" applyNumberFormat="1" applyFont="1" applyFill="1" applyBorder="1" applyAlignment="1">
      <alignment horizontal="right" vertical="center"/>
    </xf>
    <xf numFmtId="4" fontId="15" fillId="32" borderId="16" xfId="0" applyNumberFormat="1" applyFont="1" applyFill="1" applyBorder="1" applyAlignment="1">
      <alignment horizontal="right" vertical="center"/>
    </xf>
    <xf numFmtId="4" fontId="15" fillId="32" borderId="43" xfId="0" applyNumberFormat="1" applyFont="1" applyFill="1" applyBorder="1" applyAlignment="1">
      <alignment horizontal="right" vertical="center"/>
    </xf>
    <xf numFmtId="4" fontId="15" fillId="32" borderId="58" xfId="0" applyNumberFormat="1" applyFont="1" applyFill="1" applyBorder="1" applyAlignment="1">
      <alignment horizontal="right" vertical="center"/>
    </xf>
    <xf numFmtId="4" fontId="16" fillId="32" borderId="40" xfId="0" applyNumberFormat="1" applyFont="1" applyFill="1" applyBorder="1" applyAlignment="1">
      <alignment/>
    </xf>
    <xf numFmtId="4" fontId="16" fillId="32" borderId="12" xfId="0" applyNumberFormat="1" applyFont="1" applyFill="1" applyBorder="1" applyAlignment="1">
      <alignment vertical="center"/>
    </xf>
    <xf numFmtId="4" fontId="16" fillId="32" borderId="57" xfId="0" applyNumberFormat="1" applyFont="1" applyFill="1" applyBorder="1" applyAlignment="1">
      <alignment vertical="center"/>
    </xf>
    <xf numFmtId="4" fontId="16" fillId="32" borderId="14" xfId="0" applyNumberFormat="1" applyFont="1" applyFill="1" applyBorder="1" applyAlignment="1">
      <alignment vertical="center"/>
    </xf>
    <xf numFmtId="4" fontId="16" fillId="32" borderId="22" xfId="0" applyNumberFormat="1" applyFont="1" applyFill="1" applyBorder="1" applyAlignment="1">
      <alignment vertical="center"/>
    </xf>
    <xf numFmtId="4" fontId="16" fillId="32" borderId="26" xfId="0" applyNumberFormat="1" applyFont="1" applyFill="1" applyBorder="1" applyAlignment="1">
      <alignment vertical="center"/>
    </xf>
    <xf numFmtId="4" fontId="16" fillId="32" borderId="17" xfId="0" applyNumberFormat="1" applyFont="1" applyFill="1" applyBorder="1" applyAlignment="1">
      <alignment vertical="center"/>
    </xf>
    <xf numFmtId="4" fontId="16" fillId="32" borderId="21" xfId="0" applyNumberFormat="1" applyFont="1" applyFill="1" applyBorder="1" applyAlignment="1">
      <alignment vertical="center"/>
    </xf>
    <xf numFmtId="4" fontId="16" fillId="32" borderId="32" xfId="0" applyNumberFormat="1" applyFont="1" applyFill="1" applyBorder="1" applyAlignment="1">
      <alignment vertical="center"/>
    </xf>
    <xf numFmtId="1" fontId="15" fillId="32" borderId="63" xfId="0" applyNumberFormat="1" applyFont="1" applyFill="1" applyBorder="1" applyAlignment="1">
      <alignment vertical="center"/>
    </xf>
    <xf numFmtId="1" fontId="15" fillId="32" borderId="64" xfId="0" applyNumberFormat="1" applyFont="1" applyFill="1" applyBorder="1" applyAlignment="1">
      <alignment vertical="center"/>
    </xf>
    <xf numFmtId="1" fontId="15" fillId="32" borderId="24" xfId="0" applyNumberFormat="1" applyFont="1" applyFill="1" applyBorder="1" applyAlignment="1">
      <alignment vertical="center"/>
    </xf>
    <xf numFmtId="1" fontId="15" fillId="32" borderId="56" xfId="0" applyNumberFormat="1" applyFont="1" applyFill="1" applyBorder="1" applyAlignment="1">
      <alignment vertical="center"/>
    </xf>
    <xf numFmtId="1" fontId="15" fillId="32" borderId="53" xfId="0" applyNumberFormat="1" applyFont="1" applyFill="1" applyBorder="1" applyAlignment="1">
      <alignment vertical="center"/>
    </xf>
    <xf numFmtId="1" fontId="15" fillId="32" borderId="59" xfId="0" applyNumberFormat="1" applyFont="1" applyFill="1" applyBorder="1" applyAlignment="1">
      <alignment vertical="center"/>
    </xf>
    <xf numFmtId="4" fontId="16" fillId="32" borderId="17" xfId="0" applyNumberFormat="1" applyFont="1" applyFill="1" applyBorder="1" applyAlignment="1">
      <alignment/>
    </xf>
    <xf numFmtId="0" fontId="11" fillId="32" borderId="24" xfId="0" applyFont="1" applyFill="1" applyBorder="1" applyAlignment="1">
      <alignment horizontal="center"/>
    </xf>
    <xf numFmtId="0" fontId="16" fillId="32" borderId="28" xfId="0" applyFont="1" applyFill="1" applyBorder="1" applyAlignment="1">
      <alignment/>
    </xf>
    <xf numFmtId="4" fontId="15" fillId="32" borderId="14" xfId="0" applyNumberFormat="1" applyFont="1" applyFill="1" applyBorder="1" applyAlignment="1">
      <alignment vertical="center"/>
    </xf>
    <xf numFmtId="4" fontId="16" fillId="32" borderId="26" xfId="0" applyNumberFormat="1" applyFont="1" applyFill="1" applyBorder="1" applyAlignment="1">
      <alignment/>
    </xf>
    <xf numFmtId="4" fontId="16" fillId="32" borderId="26" xfId="0" applyNumberFormat="1" applyFont="1" applyFill="1" applyBorder="1" applyAlignment="1">
      <alignment/>
    </xf>
    <xf numFmtId="4" fontId="15" fillId="32" borderId="16" xfId="0" applyNumberFormat="1" applyFont="1" applyFill="1" applyBorder="1" applyAlignment="1">
      <alignment vertical="center"/>
    </xf>
    <xf numFmtId="0" fontId="16" fillId="32" borderId="21" xfId="0" applyFont="1" applyFill="1" applyBorder="1" applyAlignment="1">
      <alignment/>
    </xf>
    <xf numFmtId="4" fontId="16" fillId="32" borderId="40" xfId="0" applyNumberFormat="1" applyFont="1" applyFill="1" applyBorder="1" applyAlignment="1">
      <alignment/>
    </xf>
    <xf numFmtId="4" fontId="16" fillId="32" borderId="40" xfId="0" applyNumberFormat="1" applyFont="1" applyFill="1" applyBorder="1" applyAlignment="1">
      <alignment vertical="center"/>
    </xf>
    <xf numFmtId="4" fontId="16" fillId="32" borderId="28" xfId="0" applyNumberFormat="1" applyFont="1" applyFill="1" applyBorder="1" applyAlignment="1">
      <alignment/>
    </xf>
    <xf numFmtId="0" fontId="16" fillId="32" borderId="21" xfId="0" applyFont="1" applyFill="1" applyBorder="1" applyAlignment="1">
      <alignment wrapText="1"/>
    </xf>
    <xf numFmtId="0" fontId="16" fillId="32" borderId="28" xfId="0" applyFont="1" applyFill="1" applyBorder="1" applyAlignment="1">
      <alignment wrapText="1"/>
    </xf>
    <xf numFmtId="0" fontId="16" fillId="32" borderId="28" xfId="0" applyFont="1" applyFill="1" applyBorder="1" applyAlignment="1">
      <alignment vertical="center"/>
    </xf>
    <xf numFmtId="4" fontId="16" fillId="32" borderId="24" xfId="0" applyNumberFormat="1" applyFont="1" applyFill="1" applyBorder="1" applyAlignment="1">
      <alignment/>
    </xf>
    <xf numFmtId="4" fontId="16" fillId="32" borderId="28" xfId="0" applyNumberFormat="1" applyFont="1" applyFill="1" applyBorder="1" applyAlignment="1">
      <alignment/>
    </xf>
    <xf numFmtId="4" fontId="15" fillId="32" borderId="24" xfId="0" applyNumberFormat="1" applyFont="1" applyFill="1" applyBorder="1" applyAlignment="1">
      <alignment vertical="center"/>
    </xf>
    <xf numFmtId="0" fontId="16" fillId="32" borderId="21" xfId="0" applyFont="1" applyFill="1" applyBorder="1" applyAlignment="1">
      <alignment vertical="center"/>
    </xf>
    <xf numFmtId="4" fontId="16" fillId="32" borderId="28" xfId="0" applyNumberFormat="1" applyFont="1" applyFill="1" applyBorder="1" applyAlignment="1">
      <alignment vertical="center"/>
    </xf>
    <xf numFmtId="4" fontId="16" fillId="32" borderId="24" xfId="0" applyNumberFormat="1" applyFont="1" applyFill="1" applyBorder="1" applyAlignment="1">
      <alignment vertical="center"/>
    </xf>
    <xf numFmtId="4" fontId="15" fillId="32" borderId="24" xfId="0" applyNumberFormat="1" applyFont="1" applyFill="1" applyBorder="1" applyAlignment="1">
      <alignment vertical="center" wrapText="1"/>
    </xf>
    <xf numFmtId="4" fontId="15" fillId="32" borderId="22" xfId="0" applyNumberFormat="1" applyFont="1" applyFill="1" applyBorder="1" applyAlignment="1">
      <alignment vertical="center"/>
    </xf>
    <xf numFmtId="4" fontId="15" fillId="32" borderId="28" xfId="0" applyNumberFormat="1" applyFont="1" applyFill="1" applyBorder="1" applyAlignment="1">
      <alignment/>
    </xf>
    <xf numFmtId="4" fontId="15" fillId="32" borderId="31" xfId="0" applyNumberFormat="1" applyFont="1" applyFill="1" applyBorder="1" applyAlignment="1">
      <alignment vertical="center"/>
    </xf>
    <xf numFmtId="4" fontId="15" fillId="32" borderId="21" xfId="0" applyNumberFormat="1" applyFont="1" applyFill="1" applyBorder="1" applyAlignment="1">
      <alignment vertical="center"/>
    </xf>
    <xf numFmtId="4" fontId="16" fillId="32" borderId="24" xfId="0" applyNumberFormat="1" applyFont="1" applyFill="1" applyBorder="1" applyAlignment="1">
      <alignment/>
    </xf>
    <xf numFmtId="0" fontId="16" fillId="32" borderId="21" xfId="0" applyFont="1" applyFill="1" applyBorder="1" applyAlignment="1">
      <alignment horizontal="center"/>
    </xf>
    <xf numFmtId="4" fontId="16" fillId="32" borderId="26" xfId="0" applyNumberFormat="1" applyFont="1" applyFill="1" applyBorder="1" applyAlignment="1">
      <alignment/>
    </xf>
    <xf numFmtId="4" fontId="16" fillId="32" borderId="40" xfId="0" applyNumberFormat="1" applyFont="1" applyFill="1" applyBorder="1" applyAlignment="1">
      <alignment wrapText="1"/>
    </xf>
    <xf numFmtId="4" fontId="15" fillId="32" borderId="24" xfId="0" applyNumberFormat="1" applyFont="1" applyFill="1" applyBorder="1" applyAlignment="1">
      <alignment wrapText="1"/>
    </xf>
    <xf numFmtId="0" fontId="15" fillId="32" borderId="28" xfId="0" applyFont="1" applyFill="1" applyBorder="1" applyAlignment="1">
      <alignment wrapText="1"/>
    </xf>
    <xf numFmtId="4" fontId="15" fillId="32" borderId="22" xfId="0" applyNumberFormat="1" applyFont="1" applyFill="1" applyBorder="1" applyAlignment="1">
      <alignment vertical="center" wrapText="1"/>
    </xf>
    <xf numFmtId="4" fontId="15" fillId="32" borderId="40" xfId="0" applyNumberFormat="1" applyFont="1" applyFill="1" applyBorder="1" applyAlignment="1">
      <alignment vertical="center"/>
    </xf>
    <xf numFmtId="4" fontId="15" fillId="32" borderId="24" xfId="0" applyNumberFormat="1" applyFont="1" applyFill="1" applyBorder="1" applyAlignment="1">
      <alignment vertical="center" wrapText="1"/>
    </xf>
    <xf numFmtId="4" fontId="15" fillId="32" borderId="19" xfId="0" applyNumberFormat="1" applyFont="1" applyFill="1" applyBorder="1" applyAlignment="1">
      <alignment vertical="center"/>
    </xf>
    <xf numFmtId="4" fontId="15" fillId="32" borderId="40" xfId="0" applyNumberFormat="1" applyFont="1" applyFill="1" applyBorder="1" applyAlignment="1">
      <alignment vertical="center"/>
    </xf>
    <xf numFmtId="4" fontId="15" fillId="32" borderId="35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4" fillId="32" borderId="62" xfId="0" applyFont="1" applyFill="1" applyBorder="1" applyAlignment="1">
      <alignment horizontal="center" vertical="center" wrapText="1"/>
    </xf>
    <xf numFmtId="4" fontId="16" fillId="32" borderId="59" xfId="0" applyNumberFormat="1" applyFont="1" applyFill="1" applyBorder="1" applyAlignment="1">
      <alignment/>
    </xf>
    <xf numFmtId="4" fontId="16" fillId="32" borderId="62" xfId="0" applyNumberFormat="1" applyFont="1" applyFill="1" applyBorder="1" applyAlignment="1">
      <alignment vertical="center"/>
    </xf>
    <xf numFmtId="4" fontId="16" fillId="32" borderId="40" xfId="0" applyNumberFormat="1" applyFont="1" applyFill="1" applyBorder="1" applyAlignment="1">
      <alignment vertical="top"/>
    </xf>
    <xf numFmtId="4" fontId="16" fillId="32" borderId="55" xfId="0" applyNumberFormat="1" applyFont="1" applyFill="1" applyBorder="1" applyAlignment="1">
      <alignment vertical="top"/>
    </xf>
    <xf numFmtId="0" fontId="14" fillId="32" borderId="24" xfId="0" applyFont="1" applyFill="1" applyBorder="1" applyAlignment="1">
      <alignment horizontal="center" vertical="center"/>
    </xf>
    <xf numFmtId="0" fontId="14" fillId="32" borderId="56" xfId="0" applyFont="1" applyFill="1" applyBorder="1" applyAlignment="1">
      <alignment horizontal="center" vertical="center"/>
    </xf>
    <xf numFmtId="0" fontId="15" fillId="32" borderId="17" xfId="0" applyFont="1" applyFill="1" applyBorder="1" applyAlignment="1">
      <alignment vertical="center" wrapText="1"/>
    </xf>
    <xf numFmtId="0" fontId="18" fillId="0" borderId="13" xfId="0" applyFont="1" applyBorder="1" applyAlignment="1">
      <alignment horizontal="center"/>
    </xf>
    <xf numFmtId="0" fontId="18" fillId="0" borderId="24" xfId="0" applyFont="1" applyBorder="1" applyAlignment="1">
      <alignment horizontal="left"/>
    </xf>
    <xf numFmtId="4" fontId="18" fillId="32" borderId="24" xfId="0" applyNumberFormat="1" applyFont="1" applyFill="1" applyBorder="1" applyAlignment="1">
      <alignment/>
    </xf>
    <xf numFmtId="4" fontId="16" fillId="32" borderId="56" xfId="0" applyNumberFormat="1" applyFont="1" applyFill="1" applyBorder="1" applyAlignment="1">
      <alignment/>
    </xf>
    <xf numFmtId="0" fontId="18" fillId="0" borderId="35" xfId="0" applyFont="1" applyBorder="1" applyAlignment="1">
      <alignment wrapText="1"/>
    </xf>
    <xf numFmtId="0" fontId="42" fillId="32" borderId="14" xfId="0" applyFont="1" applyFill="1" applyBorder="1" applyAlignment="1">
      <alignment vertical="center"/>
    </xf>
    <xf numFmtId="4" fontId="16" fillId="32" borderId="14" xfId="0" applyNumberFormat="1" applyFont="1" applyFill="1" applyBorder="1" applyAlignment="1">
      <alignment/>
    </xf>
    <xf numFmtId="49" fontId="16" fillId="32" borderId="28" xfId="0" applyNumberFormat="1" applyFont="1" applyFill="1" applyBorder="1" applyAlignment="1">
      <alignment horizontal="center" vertical="center"/>
    </xf>
    <xf numFmtId="0" fontId="42" fillId="32" borderId="16" xfId="0" applyFont="1" applyFill="1" applyBorder="1" applyAlignment="1">
      <alignment vertical="top" wrapText="1"/>
    </xf>
    <xf numFmtId="0" fontId="16" fillId="32" borderId="13" xfId="0" applyFont="1" applyFill="1" applyBorder="1" applyAlignment="1">
      <alignment horizontal="center" wrapText="1"/>
    </xf>
    <xf numFmtId="4" fontId="15" fillId="32" borderId="22" xfId="0" applyNumberFormat="1" applyFont="1" applyFill="1" applyBorder="1" applyAlignment="1">
      <alignment vertical="center"/>
    </xf>
    <xf numFmtId="49" fontId="16" fillId="34" borderId="23" xfId="0" applyNumberFormat="1" applyFont="1" applyFill="1" applyBorder="1" applyAlignment="1">
      <alignment horizontal="center" vertical="center"/>
    </xf>
    <xf numFmtId="49" fontId="16" fillId="34" borderId="22" xfId="0" applyNumberFormat="1" applyFont="1" applyFill="1" applyBorder="1" applyAlignment="1">
      <alignment horizontal="center" vertical="center"/>
    </xf>
    <xf numFmtId="49" fontId="16" fillId="34" borderId="40" xfId="0" applyNumberFormat="1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 wrapText="1"/>
    </xf>
    <xf numFmtId="0" fontId="42" fillId="34" borderId="35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vertical="center" wrapText="1"/>
    </xf>
    <xf numFmtId="4" fontId="16" fillId="34" borderId="40" xfId="0" applyNumberFormat="1" applyFont="1" applyFill="1" applyBorder="1" applyAlignment="1">
      <alignment vertical="center"/>
    </xf>
    <xf numFmtId="4" fontId="16" fillId="34" borderId="55" xfId="0" applyNumberFormat="1" applyFont="1" applyFill="1" applyBorder="1" applyAlignment="1">
      <alignment vertical="center"/>
    </xf>
    <xf numFmtId="0" fontId="42" fillId="34" borderId="36" xfId="0" applyFont="1" applyFill="1" applyBorder="1" applyAlignment="1">
      <alignment horizontal="center" vertical="center" wrapText="1"/>
    </xf>
    <xf numFmtId="49" fontId="16" fillId="34" borderId="23" xfId="0" applyNumberFormat="1" applyFont="1" applyFill="1" applyBorder="1" applyAlignment="1">
      <alignment horizontal="center" vertical="center"/>
    </xf>
    <xf numFmtId="49" fontId="16" fillId="34" borderId="14" xfId="0" applyNumberFormat="1" applyFont="1" applyFill="1" applyBorder="1" applyAlignment="1">
      <alignment horizontal="center" vertical="center"/>
    </xf>
    <xf numFmtId="49" fontId="16" fillId="34" borderId="24" xfId="0" applyNumberFormat="1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35" xfId="0" applyFont="1" applyFill="1" applyBorder="1" applyAlignment="1">
      <alignment horizontal="center" vertical="center"/>
    </xf>
    <xf numFmtId="49" fontId="16" fillId="34" borderId="23" xfId="0" applyNumberFormat="1" applyFont="1" applyFill="1" applyBorder="1" applyAlignment="1">
      <alignment horizontal="center"/>
    </xf>
    <xf numFmtId="49" fontId="16" fillId="34" borderId="22" xfId="0" applyNumberFormat="1" applyFont="1" applyFill="1" applyBorder="1" applyAlignment="1">
      <alignment horizontal="center"/>
    </xf>
    <xf numFmtId="0" fontId="42" fillId="34" borderId="37" xfId="0" applyFont="1" applyFill="1" applyBorder="1" applyAlignment="1">
      <alignment horizontal="center"/>
    </xf>
    <xf numFmtId="0" fontId="42" fillId="34" borderId="37" xfId="0" applyFont="1" applyFill="1" applyBorder="1" applyAlignment="1">
      <alignment/>
    </xf>
    <xf numFmtId="4" fontId="16" fillId="34" borderId="40" xfId="0" applyNumberFormat="1" applyFont="1" applyFill="1" applyBorder="1" applyAlignment="1">
      <alignment/>
    </xf>
    <xf numFmtId="4" fontId="16" fillId="34" borderId="55" xfId="0" applyNumberFormat="1" applyFont="1" applyFill="1" applyBorder="1" applyAlignment="1">
      <alignment/>
    </xf>
    <xf numFmtId="0" fontId="42" fillId="34" borderId="35" xfId="0" applyFont="1" applyFill="1" applyBorder="1" applyAlignment="1">
      <alignment horizontal="center"/>
    </xf>
    <xf numFmtId="0" fontId="42" fillId="34" borderId="35" xfId="0" applyFont="1" applyFill="1" applyBorder="1" applyAlignment="1">
      <alignment/>
    </xf>
    <xf numFmtId="0" fontId="42" fillId="34" borderId="35" xfId="0" applyFont="1" applyFill="1" applyBorder="1" applyAlignment="1">
      <alignment horizontal="left" vertical="center" wrapText="1"/>
    </xf>
    <xf numFmtId="49" fontId="16" fillId="34" borderId="13" xfId="0" applyNumberFormat="1" applyFont="1" applyFill="1" applyBorder="1" applyAlignment="1">
      <alignment vertical="center"/>
    </xf>
    <xf numFmtId="0" fontId="42" fillId="34" borderId="37" xfId="0" applyFont="1" applyFill="1" applyBorder="1" applyAlignment="1">
      <alignment horizontal="center" vertical="center"/>
    </xf>
    <xf numFmtId="0" fontId="42" fillId="34" borderId="37" xfId="0" applyFont="1" applyFill="1" applyBorder="1" applyAlignment="1">
      <alignment horizontal="left" vertical="center" wrapText="1"/>
    </xf>
    <xf numFmtId="49" fontId="16" fillId="34" borderId="23" xfId="0" applyNumberFormat="1" applyFont="1" applyFill="1" applyBorder="1" applyAlignment="1">
      <alignment/>
    </xf>
    <xf numFmtId="49" fontId="16" fillId="34" borderId="14" xfId="0" applyNumberFormat="1" applyFont="1" applyFill="1" applyBorder="1" applyAlignment="1">
      <alignment horizontal="center"/>
    </xf>
    <xf numFmtId="0" fontId="42" fillId="34" borderId="37" xfId="0" applyFont="1" applyFill="1" applyBorder="1" applyAlignment="1">
      <alignment horizontal="left" wrapText="1"/>
    </xf>
    <xf numFmtId="0" fontId="29" fillId="32" borderId="35" xfId="0" applyFont="1" applyFill="1" applyBorder="1" applyAlignment="1">
      <alignment horizontal="left" vertical="center" wrapText="1"/>
    </xf>
    <xf numFmtId="0" fontId="5" fillId="0" borderId="41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29" fillId="0" borderId="41" xfId="0" applyFont="1" applyBorder="1" applyAlignment="1">
      <alignment horizontal="left" vertical="center" wrapText="1"/>
    </xf>
    <xf numFmtId="0" fontId="16" fillId="34" borderId="26" xfId="0" applyFont="1" applyFill="1" applyBorder="1" applyAlignment="1">
      <alignment wrapText="1"/>
    </xf>
    <xf numFmtId="4" fontId="16" fillId="34" borderId="40" xfId="0" applyNumberFormat="1" applyFont="1" applyFill="1" applyBorder="1" applyAlignment="1">
      <alignment/>
    </xf>
    <xf numFmtId="4" fontId="16" fillId="34" borderId="22" xfId="0" applyNumberFormat="1" applyFont="1" applyFill="1" applyBorder="1" applyAlignment="1">
      <alignment/>
    </xf>
    <xf numFmtId="0" fontId="16" fillId="34" borderId="23" xfId="0" applyFont="1" applyFill="1" applyBorder="1" applyAlignment="1">
      <alignment horizontal="center"/>
    </xf>
    <xf numFmtId="0" fontId="16" fillId="34" borderId="22" xfId="0" applyFont="1" applyFill="1" applyBorder="1" applyAlignment="1">
      <alignment/>
    </xf>
    <xf numFmtId="49" fontId="16" fillId="34" borderId="40" xfId="0" applyNumberFormat="1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left"/>
    </xf>
    <xf numFmtId="0" fontId="16" fillId="34" borderId="22" xfId="0" applyFont="1" applyFill="1" applyBorder="1" applyAlignment="1">
      <alignment horizontal="center"/>
    </xf>
    <xf numFmtId="0" fontId="42" fillId="34" borderId="22" xfId="0" applyFont="1" applyFill="1" applyBorder="1" applyAlignment="1">
      <alignment wrapText="1"/>
    </xf>
    <xf numFmtId="0" fontId="42" fillId="34" borderId="22" xfId="0" applyFont="1" applyFill="1" applyBorder="1" applyAlignment="1">
      <alignment horizontal="center"/>
    </xf>
    <xf numFmtId="0" fontId="42" fillId="34" borderId="22" xfId="0" applyFont="1" applyFill="1" applyBorder="1" applyAlignment="1">
      <alignment horizontal="left" wrapText="1"/>
    </xf>
    <xf numFmtId="0" fontId="42" fillId="34" borderId="14" xfId="0" applyFont="1" applyFill="1" applyBorder="1" applyAlignment="1">
      <alignment/>
    </xf>
    <xf numFmtId="49" fontId="16" fillId="34" borderId="25" xfId="0" applyNumberFormat="1" applyFont="1" applyFill="1" applyBorder="1" applyAlignment="1">
      <alignment horizontal="center"/>
    </xf>
    <xf numFmtId="49" fontId="16" fillId="34" borderId="26" xfId="0" applyNumberFormat="1" applyFont="1" applyFill="1" applyBorder="1" applyAlignment="1">
      <alignment horizontal="center"/>
    </xf>
    <xf numFmtId="49" fontId="16" fillId="34" borderId="28" xfId="0" applyNumberFormat="1" applyFont="1" applyFill="1" applyBorder="1" applyAlignment="1">
      <alignment horizontal="center"/>
    </xf>
    <xf numFmtId="0" fontId="16" fillId="34" borderId="26" xfId="0" applyFont="1" applyFill="1" applyBorder="1" applyAlignment="1">
      <alignment horizontal="center" wrapText="1"/>
    </xf>
    <xf numFmtId="0" fontId="42" fillId="34" borderId="36" xfId="0" applyFont="1" applyFill="1" applyBorder="1" applyAlignment="1">
      <alignment horizontal="center"/>
    </xf>
    <xf numFmtId="0" fontId="42" fillId="34" borderId="17" xfId="0" applyFont="1" applyFill="1" applyBorder="1" applyAlignment="1">
      <alignment horizontal="left" wrapText="1"/>
    </xf>
    <xf numFmtId="4" fontId="16" fillId="34" borderId="28" xfId="0" applyNumberFormat="1" applyFont="1" applyFill="1" applyBorder="1" applyAlignment="1">
      <alignment/>
    </xf>
    <xf numFmtId="49" fontId="16" fillId="34" borderId="13" xfId="0" applyNumberFormat="1" applyFont="1" applyFill="1" applyBorder="1" applyAlignment="1">
      <alignment horizontal="center"/>
    </xf>
    <xf numFmtId="0" fontId="16" fillId="34" borderId="22" xfId="0" applyFont="1" applyFill="1" applyBorder="1" applyAlignment="1">
      <alignment horizontal="center" wrapText="1"/>
    </xf>
    <xf numFmtId="0" fontId="42" fillId="34" borderId="35" xfId="0" applyFont="1" applyFill="1" applyBorder="1" applyAlignment="1">
      <alignment horizontal="center" wrapText="1"/>
    </xf>
    <xf numFmtId="0" fontId="42" fillId="34" borderId="35" xfId="0" applyFont="1" applyFill="1" applyBorder="1" applyAlignment="1">
      <alignment horizontal="justify" wrapText="1"/>
    </xf>
    <xf numFmtId="0" fontId="42" fillId="34" borderId="22" xfId="0" applyFont="1" applyFill="1" applyBorder="1" applyAlignment="1">
      <alignment horizontal="center" wrapText="1"/>
    </xf>
    <xf numFmtId="0" fontId="42" fillId="34" borderId="37" xfId="0" applyFont="1" applyFill="1" applyBorder="1" applyAlignment="1">
      <alignment horizontal="justify" wrapText="1"/>
    </xf>
    <xf numFmtId="0" fontId="42" fillId="34" borderId="26" xfId="0" applyFont="1" applyFill="1" applyBorder="1" applyAlignment="1">
      <alignment horizontal="center" wrapText="1"/>
    </xf>
    <xf numFmtId="0" fontId="42" fillId="34" borderId="33" xfId="0" applyFont="1" applyFill="1" applyBorder="1" applyAlignment="1">
      <alignment horizontal="justify" wrapText="1"/>
    </xf>
    <xf numFmtId="0" fontId="42" fillId="34" borderId="37" xfId="0" applyFont="1" applyFill="1" applyBorder="1" applyAlignment="1">
      <alignment horizontal="center" wrapText="1"/>
    </xf>
    <xf numFmtId="0" fontId="42" fillId="34" borderId="22" xfId="0" applyFont="1" applyFill="1" applyBorder="1" applyAlignment="1">
      <alignment horizontal="justify" wrapText="1"/>
    </xf>
    <xf numFmtId="0" fontId="42" fillId="34" borderId="14" xfId="0" applyFont="1" applyFill="1" applyBorder="1" applyAlignment="1">
      <alignment horizontal="justify" wrapText="1"/>
    </xf>
    <xf numFmtId="0" fontId="42" fillId="34" borderId="22" xfId="0" applyFont="1" applyFill="1" applyBorder="1" applyAlignment="1">
      <alignment/>
    </xf>
    <xf numFmtId="49" fontId="16" fillId="34" borderId="13" xfId="0" applyNumberFormat="1" applyFont="1" applyFill="1" applyBorder="1" applyAlignment="1">
      <alignment/>
    </xf>
    <xf numFmtId="49" fontId="16" fillId="34" borderId="14" xfId="0" applyNumberFormat="1" applyFont="1" applyFill="1" applyBorder="1" applyAlignment="1">
      <alignment/>
    </xf>
    <xf numFmtId="0" fontId="16" fillId="34" borderId="22" xfId="0" applyFont="1" applyFill="1" applyBorder="1" applyAlignment="1">
      <alignment horizontal="center" vertical="center"/>
    </xf>
    <xf numFmtId="49" fontId="16" fillId="34" borderId="25" xfId="0" applyNumberFormat="1" applyFont="1" applyFill="1" applyBorder="1" applyAlignment="1">
      <alignment/>
    </xf>
    <xf numFmtId="49" fontId="16" fillId="34" borderId="26" xfId="0" applyNumberFormat="1" applyFont="1" applyFill="1" applyBorder="1" applyAlignment="1">
      <alignment/>
    </xf>
    <xf numFmtId="49" fontId="16" fillId="34" borderId="28" xfId="0" applyNumberFormat="1" applyFont="1" applyFill="1" applyBorder="1" applyAlignment="1">
      <alignment/>
    </xf>
    <xf numFmtId="49" fontId="16" fillId="34" borderId="22" xfId="0" applyNumberFormat="1" applyFont="1" applyFill="1" applyBorder="1" applyAlignment="1">
      <alignment/>
    </xf>
    <xf numFmtId="49" fontId="16" fillId="34" borderId="23" xfId="0" applyNumberFormat="1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/>
    </xf>
    <xf numFmtId="49" fontId="16" fillId="34" borderId="15" xfId="0" applyNumberFormat="1" applyFont="1" applyFill="1" applyBorder="1" applyAlignment="1">
      <alignment horizontal="center"/>
    </xf>
    <xf numFmtId="49" fontId="16" fillId="34" borderId="16" xfId="0" applyNumberFormat="1" applyFont="1" applyFill="1" applyBorder="1" applyAlignment="1">
      <alignment horizontal="center"/>
    </xf>
    <xf numFmtId="49" fontId="16" fillId="34" borderId="43" xfId="0" applyNumberFormat="1" applyFont="1" applyFill="1" applyBorder="1" applyAlignment="1">
      <alignment horizontal="center"/>
    </xf>
    <xf numFmtId="0" fontId="42" fillId="34" borderId="16" xfId="0" applyFont="1" applyFill="1" applyBorder="1" applyAlignment="1">
      <alignment horizontal="center"/>
    </xf>
    <xf numFmtId="0" fontId="42" fillId="34" borderId="38" xfId="0" applyFont="1" applyFill="1" applyBorder="1" applyAlignment="1">
      <alignment horizontal="center"/>
    </xf>
    <xf numFmtId="0" fontId="42" fillId="34" borderId="16" xfId="0" applyFont="1" applyFill="1" applyBorder="1" applyAlignment="1">
      <alignment/>
    </xf>
    <xf numFmtId="4" fontId="16" fillId="34" borderId="43" xfId="0" applyNumberFormat="1" applyFont="1" applyFill="1" applyBorder="1" applyAlignment="1">
      <alignment/>
    </xf>
    <xf numFmtId="4" fontId="16" fillId="34" borderId="16" xfId="0" applyNumberFormat="1" applyFont="1" applyFill="1" applyBorder="1" applyAlignment="1">
      <alignment/>
    </xf>
    <xf numFmtId="4" fontId="16" fillId="34" borderId="59" xfId="0" applyNumberFormat="1" applyFont="1" applyFill="1" applyBorder="1" applyAlignment="1">
      <alignment/>
    </xf>
    <xf numFmtId="49" fontId="16" fillId="34" borderId="22" xfId="0" applyNumberFormat="1" applyFont="1" applyFill="1" applyBorder="1" applyAlignment="1">
      <alignment horizontal="center"/>
    </xf>
    <xf numFmtId="49" fontId="16" fillId="34" borderId="40" xfId="0" applyNumberFormat="1" applyFont="1" applyFill="1" applyBorder="1" applyAlignment="1">
      <alignment horizontal="center"/>
    </xf>
    <xf numFmtId="0" fontId="42" fillId="34" borderId="14" xfId="0" applyFont="1" applyFill="1" applyBorder="1" applyAlignment="1">
      <alignment wrapText="1"/>
    </xf>
    <xf numFmtId="4" fontId="16" fillId="34" borderId="24" xfId="0" applyNumberFormat="1" applyFont="1" applyFill="1" applyBorder="1" applyAlignment="1">
      <alignment/>
    </xf>
    <xf numFmtId="0" fontId="42" fillId="34" borderId="33" xfId="0" applyFont="1" applyFill="1" applyBorder="1" applyAlignment="1">
      <alignment horizontal="center"/>
    </xf>
    <xf numFmtId="0" fontId="42" fillId="34" borderId="26" xfId="0" applyFont="1" applyFill="1" applyBorder="1" applyAlignment="1">
      <alignment wrapText="1"/>
    </xf>
    <xf numFmtId="0" fontId="42" fillId="34" borderId="14" xfId="0" applyFont="1" applyFill="1" applyBorder="1" applyAlignment="1">
      <alignment horizontal="center" wrapText="1"/>
    </xf>
    <xf numFmtId="0" fontId="42" fillId="34" borderId="36" xfId="0" applyFont="1" applyFill="1" applyBorder="1" applyAlignment="1">
      <alignment horizontal="center" wrapText="1"/>
    </xf>
    <xf numFmtId="0" fontId="42" fillId="34" borderId="17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left" wrapText="1"/>
    </xf>
    <xf numFmtId="0" fontId="16" fillId="34" borderId="13" xfId="0" applyFont="1" applyFill="1" applyBorder="1" applyAlignment="1">
      <alignment horizontal="center"/>
    </xf>
    <xf numFmtId="0" fontId="16" fillId="34" borderId="14" xfId="0" applyFont="1" applyFill="1" applyBorder="1" applyAlignment="1">
      <alignment/>
    </xf>
    <xf numFmtId="0" fontId="16" fillId="34" borderId="18" xfId="0" applyFont="1" applyFill="1" applyBorder="1" applyAlignment="1">
      <alignment horizontal="center"/>
    </xf>
    <xf numFmtId="0" fontId="16" fillId="34" borderId="17" xfId="0" applyFont="1" applyFill="1" applyBorder="1" applyAlignment="1">
      <alignment/>
    </xf>
    <xf numFmtId="0" fontId="16" fillId="34" borderId="23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vertical="center" wrapText="1"/>
    </xf>
    <xf numFmtId="4" fontId="16" fillId="34" borderId="40" xfId="0" applyNumberFormat="1" applyFont="1" applyFill="1" applyBorder="1" applyAlignment="1">
      <alignment vertical="center"/>
    </xf>
    <xf numFmtId="4" fontId="16" fillId="34" borderId="22" xfId="0" applyNumberFormat="1" applyFont="1" applyFill="1" applyBorder="1" applyAlignment="1">
      <alignment vertical="center"/>
    </xf>
    <xf numFmtId="0" fontId="16" fillId="34" borderId="22" xfId="0" applyFont="1" applyFill="1" applyBorder="1" applyAlignment="1">
      <alignment wrapText="1"/>
    </xf>
    <xf numFmtId="0" fontId="16" fillId="34" borderId="13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vertical="center" wrapText="1"/>
    </xf>
    <xf numFmtId="0" fontId="15" fillId="34" borderId="13" xfId="0" applyFont="1" applyFill="1" applyBorder="1" applyAlignment="1">
      <alignment horizontal="center"/>
    </xf>
    <xf numFmtId="0" fontId="15" fillId="34" borderId="14" xfId="0" applyFont="1" applyFill="1" applyBorder="1" applyAlignment="1">
      <alignment vertical="center"/>
    </xf>
    <xf numFmtId="4" fontId="15" fillId="34" borderId="14" xfId="0" applyNumberFormat="1" applyFont="1" applyFill="1" applyBorder="1" applyAlignment="1">
      <alignment vertical="center"/>
    </xf>
    <xf numFmtId="0" fontId="16" fillId="34" borderId="23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/>
    </xf>
    <xf numFmtId="0" fontId="16" fillId="34" borderId="22" xfId="0" applyFont="1" applyFill="1" applyBorder="1" applyAlignment="1">
      <alignment vertical="center"/>
    </xf>
    <xf numFmtId="0" fontId="16" fillId="34" borderId="25" xfId="0" applyFont="1" applyFill="1" applyBorder="1" applyAlignment="1">
      <alignment horizontal="center"/>
    </xf>
    <xf numFmtId="0" fontId="16" fillId="34" borderId="26" xfId="0" applyFont="1" applyFill="1" applyBorder="1" applyAlignment="1">
      <alignment/>
    </xf>
    <xf numFmtId="0" fontId="16" fillId="34" borderId="23" xfId="0" applyFont="1" applyFill="1" applyBorder="1" applyAlignment="1">
      <alignment horizontal="center"/>
    </xf>
    <xf numFmtId="0" fontId="16" fillId="34" borderId="22" xfId="0" applyFont="1" applyFill="1" applyBorder="1" applyAlignment="1">
      <alignment/>
    </xf>
    <xf numFmtId="4" fontId="16" fillId="34" borderId="28" xfId="0" applyNumberFormat="1" applyFont="1" applyFill="1" applyBorder="1" applyAlignment="1">
      <alignment/>
    </xf>
    <xf numFmtId="4" fontId="16" fillId="34" borderId="40" xfId="0" applyNumberFormat="1" applyFont="1" applyFill="1" applyBorder="1" applyAlignment="1">
      <alignment/>
    </xf>
    <xf numFmtId="0" fontId="16" fillId="34" borderId="22" xfId="0" applyFont="1" applyFill="1" applyBorder="1" applyAlignment="1">
      <alignment wrapText="1"/>
    </xf>
    <xf numFmtId="0" fontId="16" fillId="34" borderId="22" xfId="0" applyFont="1" applyFill="1" applyBorder="1" applyAlignment="1">
      <alignment vertical="center"/>
    </xf>
    <xf numFmtId="0" fontId="16" fillId="34" borderId="14" xfId="0" applyFont="1" applyFill="1" applyBorder="1" applyAlignment="1">
      <alignment wrapText="1"/>
    </xf>
    <xf numFmtId="4" fontId="16" fillId="34" borderId="28" xfId="0" applyNumberFormat="1" applyFont="1" applyFill="1" applyBorder="1" applyAlignment="1">
      <alignment/>
    </xf>
    <xf numFmtId="4" fontId="16" fillId="34" borderId="40" xfId="0" applyNumberFormat="1" applyFont="1" applyFill="1" applyBorder="1" applyAlignment="1">
      <alignment/>
    </xf>
    <xf numFmtId="4" fontId="16" fillId="34" borderId="55" xfId="0" applyNumberFormat="1" applyFont="1" applyFill="1" applyBorder="1" applyAlignment="1">
      <alignment/>
    </xf>
    <xf numFmtId="4" fontId="16" fillId="34" borderId="24" xfId="0" applyNumberFormat="1" applyFont="1" applyFill="1" applyBorder="1" applyAlignment="1">
      <alignment/>
    </xf>
    <xf numFmtId="0" fontId="42" fillId="34" borderId="33" xfId="0" applyFont="1" applyFill="1" applyBorder="1" applyAlignment="1">
      <alignment horizontal="left" wrapText="1"/>
    </xf>
    <xf numFmtId="49" fontId="16" fillId="34" borderId="24" xfId="0" applyNumberFormat="1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 wrapText="1"/>
    </xf>
    <xf numFmtId="49" fontId="16" fillId="34" borderId="13" xfId="0" applyNumberFormat="1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justify" vertical="center" wrapText="1"/>
    </xf>
    <xf numFmtId="0" fontId="42" fillId="34" borderId="22" xfId="0" applyFont="1" applyFill="1" applyBorder="1" applyAlignment="1">
      <alignment horizontal="justify" vertical="center" wrapText="1"/>
    </xf>
    <xf numFmtId="4" fontId="16" fillId="34" borderId="24" xfId="0" applyNumberFormat="1" applyFont="1" applyFill="1" applyBorder="1" applyAlignment="1">
      <alignment vertical="center"/>
    </xf>
    <xf numFmtId="4" fontId="16" fillId="34" borderId="26" xfId="0" applyNumberFormat="1" applyFont="1" applyFill="1" applyBorder="1" applyAlignment="1">
      <alignment vertical="center"/>
    </xf>
    <xf numFmtId="4" fontId="16" fillId="34" borderId="28" xfId="0" applyNumberFormat="1" applyFont="1" applyFill="1" applyBorder="1" applyAlignment="1">
      <alignment vertical="center"/>
    </xf>
    <xf numFmtId="4" fontId="16" fillId="34" borderId="24" xfId="0" applyNumberFormat="1" applyFont="1" applyFill="1" applyBorder="1" applyAlignment="1">
      <alignment vertical="center"/>
    </xf>
    <xf numFmtId="4" fontId="16" fillId="34" borderId="14" xfId="0" applyNumberFormat="1" applyFont="1" applyFill="1" applyBorder="1" applyAlignment="1">
      <alignment vertical="center"/>
    </xf>
    <xf numFmtId="0" fontId="16" fillId="34" borderId="25" xfId="0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vertical="center" wrapText="1"/>
    </xf>
    <xf numFmtId="0" fontId="18" fillId="0" borderId="4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16" fillId="34" borderId="22" xfId="0" applyFont="1" applyFill="1" applyBorder="1" applyAlignment="1">
      <alignment vertical="center" wrapText="1"/>
    </xf>
    <xf numFmtId="49" fontId="42" fillId="34" borderId="23" xfId="0" applyNumberFormat="1" applyFont="1" applyFill="1" applyBorder="1" applyAlignment="1">
      <alignment horizontal="center"/>
    </xf>
    <xf numFmtId="49" fontId="42" fillId="34" borderId="22" xfId="0" applyNumberFormat="1" applyFont="1" applyFill="1" applyBorder="1" applyAlignment="1">
      <alignment horizontal="center"/>
    </xf>
    <xf numFmtId="4" fontId="16" fillId="34" borderId="22" xfId="0" applyNumberFormat="1" applyFont="1" applyFill="1" applyBorder="1" applyAlignment="1">
      <alignment/>
    </xf>
    <xf numFmtId="0" fontId="42" fillId="34" borderId="26" xfId="0" applyFont="1" applyFill="1" applyBorder="1" applyAlignment="1">
      <alignment/>
    </xf>
    <xf numFmtId="4" fontId="16" fillId="34" borderId="26" xfId="0" applyNumberFormat="1" applyFont="1" applyFill="1" applyBorder="1" applyAlignment="1">
      <alignment/>
    </xf>
    <xf numFmtId="4" fontId="16" fillId="34" borderId="34" xfId="0" applyNumberFormat="1" applyFont="1" applyFill="1" applyBorder="1" applyAlignment="1">
      <alignment/>
    </xf>
    <xf numFmtId="49" fontId="42" fillId="34" borderId="13" xfId="0" applyNumberFormat="1" applyFont="1" applyFill="1" applyBorder="1" applyAlignment="1">
      <alignment horizontal="center"/>
    </xf>
    <xf numFmtId="49" fontId="42" fillId="34" borderId="14" xfId="0" applyNumberFormat="1" applyFont="1" applyFill="1" applyBorder="1" applyAlignment="1">
      <alignment horizontal="center"/>
    </xf>
    <xf numFmtId="0" fontId="42" fillId="34" borderId="26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37" xfId="0" applyFont="1" applyFill="1" applyBorder="1" applyAlignment="1">
      <alignment horizontal="center" vertical="center" wrapText="1"/>
    </xf>
    <xf numFmtId="49" fontId="16" fillId="34" borderId="26" xfId="0" applyNumberFormat="1" applyFont="1" applyFill="1" applyBorder="1" applyAlignment="1">
      <alignment horizontal="right"/>
    </xf>
    <xf numFmtId="0" fontId="16" fillId="34" borderId="26" xfId="0" applyFont="1" applyFill="1" applyBorder="1" applyAlignment="1">
      <alignment horizontal="center"/>
    </xf>
    <xf numFmtId="49" fontId="16" fillId="34" borderId="14" xfId="0" applyNumberFormat="1" applyFont="1" applyFill="1" applyBorder="1" applyAlignment="1">
      <alignment horizontal="right"/>
    </xf>
    <xf numFmtId="0" fontId="42" fillId="34" borderId="17" xfId="0" applyFont="1" applyFill="1" applyBorder="1" applyAlignment="1">
      <alignment horizontal="center" vertical="center"/>
    </xf>
    <xf numFmtId="0" fontId="42" fillId="34" borderId="36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left" vertical="center" wrapText="1"/>
    </xf>
    <xf numFmtId="0" fontId="5" fillId="32" borderId="20" xfId="0" applyFont="1" applyFill="1" applyBorder="1" applyAlignment="1">
      <alignment/>
    </xf>
    <xf numFmtId="0" fontId="10" fillId="32" borderId="0" xfId="0" applyFont="1" applyFill="1" applyAlignment="1">
      <alignment/>
    </xf>
    <xf numFmtId="0" fontId="15" fillId="32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 vertical="center"/>
    </xf>
    <xf numFmtId="4" fontId="15" fillId="32" borderId="0" xfId="0" applyNumberFormat="1" applyFont="1" applyFill="1" applyBorder="1" applyAlignment="1">
      <alignment vertical="center"/>
    </xf>
    <xf numFmtId="4" fontId="15" fillId="32" borderId="56" xfId="0" applyNumberFormat="1" applyFont="1" applyFill="1" applyBorder="1" applyAlignment="1">
      <alignment vertical="center"/>
    </xf>
    <xf numFmtId="0" fontId="15" fillId="32" borderId="22" xfId="0" applyFont="1" applyFill="1" applyBorder="1" applyAlignment="1">
      <alignment vertical="center"/>
    </xf>
    <xf numFmtId="49" fontId="16" fillId="0" borderId="14" xfId="0" applyNumberFormat="1" applyFont="1" applyBorder="1" applyAlignment="1">
      <alignment horizontal="center"/>
    </xf>
    <xf numFmtId="4" fontId="15" fillId="32" borderId="55" xfId="0" applyNumberFormat="1" applyFont="1" applyFill="1" applyBorder="1" applyAlignment="1">
      <alignment vertical="center"/>
    </xf>
    <xf numFmtId="49" fontId="16" fillId="34" borderId="26" xfId="0" applyNumberFormat="1" applyFont="1" applyFill="1" applyBorder="1" applyAlignment="1">
      <alignment horizontal="center" vertical="center"/>
    </xf>
    <xf numFmtId="49" fontId="16" fillId="34" borderId="28" xfId="0" applyNumberFormat="1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horizontal="center" vertical="center" wrapText="1"/>
    </xf>
    <xf numFmtId="0" fontId="42" fillId="34" borderId="33" xfId="0" applyFont="1" applyFill="1" applyBorder="1" applyAlignment="1">
      <alignment horizontal="center" vertical="center" wrapText="1"/>
    </xf>
    <xf numFmtId="0" fontId="42" fillId="34" borderId="26" xfId="0" applyFont="1" applyFill="1" applyBorder="1" applyAlignment="1">
      <alignment vertical="center" wrapText="1"/>
    </xf>
    <xf numFmtId="49" fontId="16" fillId="34" borderId="13" xfId="0" applyNumberFormat="1" applyFont="1" applyFill="1" applyBorder="1" applyAlignment="1">
      <alignment horizontal="center" vertical="center"/>
    </xf>
    <xf numFmtId="49" fontId="16" fillId="34" borderId="14" xfId="0" applyNumberFormat="1" applyFont="1" applyFill="1" applyBorder="1" applyAlignment="1">
      <alignment horizontal="center" vertical="center"/>
    </xf>
    <xf numFmtId="49" fontId="16" fillId="34" borderId="24" xfId="0" applyNumberFormat="1" applyFont="1" applyFill="1" applyBorder="1" applyAlignment="1">
      <alignment horizontal="center" vertical="center"/>
    </xf>
    <xf numFmtId="4" fontId="16" fillId="32" borderId="55" xfId="0" applyNumberFormat="1" applyFont="1" applyFill="1" applyBorder="1" applyAlignment="1">
      <alignment/>
    </xf>
    <xf numFmtId="4" fontId="15" fillId="32" borderId="53" xfId="0" applyNumberFormat="1" applyFont="1" applyFill="1" applyBorder="1" applyAlignment="1">
      <alignment vertical="center"/>
    </xf>
    <xf numFmtId="4" fontId="15" fillId="32" borderId="59" xfId="0" applyNumberFormat="1" applyFont="1" applyFill="1" applyBorder="1" applyAlignment="1">
      <alignment vertical="center"/>
    </xf>
    <xf numFmtId="0" fontId="46" fillId="0" borderId="26" xfId="0" applyFont="1" applyBorder="1" applyAlignment="1">
      <alignment vertical="center" wrapText="1"/>
    </xf>
    <xf numFmtId="0" fontId="15" fillId="34" borderId="23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vertical="center" wrapText="1"/>
    </xf>
    <xf numFmtId="4" fontId="15" fillId="34" borderId="40" xfId="0" applyNumberFormat="1" applyFont="1" applyFill="1" applyBorder="1" applyAlignment="1">
      <alignment vertical="center"/>
    </xf>
    <xf numFmtId="4" fontId="15" fillId="34" borderId="22" xfId="0" applyNumberFormat="1" applyFont="1" applyFill="1" applyBorder="1" applyAlignment="1">
      <alignment vertical="center"/>
    </xf>
    <xf numFmtId="0" fontId="15" fillId="34" borderId="13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vertical="center"/>
    </xf>
    <xf numFmtId="0" fontId="15" fillId="34" borderId="17" xfId="0" applyFont="1" applyFill="1" applyBorder="1" applyAlignment="1">
      <alignment vertical="center" wrapText="1"/>
    </xf>
    <xf numFmtId="0" fontId="15" fillId="34" borderId="18" xfId="0" applyFont="1" applyFill="1" applyBorder="1" applyAlignment="1">
      <alignment horizontal="center"/>
    </xf>
    <xf numFmtId="4" fontId="15" fillId="34" borderId="28" xfId="0" applyNumberFormat="1" applyFont="1" applyFill="1" applyBorder="1" applyAlignment="1">
      <alignment vertical="center"/>
    </xf>
    <xf numFmtId="0" fontId="41" fillId="0" borderId="26" xfId="0" applyFont="1" applyBorder="1" applyAlignment="1">
      <alignment vertical="top" wrapText="1"/>
    </xf>
    <xf numFmtId="49" fontId="16" fillId="34" borderId="22" xfId="0" applyNumberFormat="1" applyFont="1" applyFill="1" applyBorder="1" applyAlignment="1">
      <alignment horizontal="center" vertical="center"/>
    </xf>
    <xf numFmtId="49" fontId="16" fillId="34" borderId="40" xfId="0" applyNumberFormat="1" applyFont="1" applyFill="1" applyBorder="1" applyAlignment="1">
      <alignment horizontal="center" vertical="center"/>
    </xf>
    <xf numFmtId="49" fontId="16" fillId="34" borderId="25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/>
    </xf>
    <xf numFmtId="0" fontId="11" fillId="32" borderId="20" xfId="0" applyFont="1" applyFill="1" applyBorder="1" applyAlignment="1">
      <alignment/>
    </xf>
    <xf numFmtId="0" fontId="46" fillId="32" borderId="20" xfId="0" applyFont="1" applyFill="1" applyBorder="1" applyAlignment="1">
      <alignment/>
    </xf>
    <xf numFmtId="0" fontId="45" fillId="32" borderId="20" xfId="0" applyFont="1" applyFill="1" applyBorder="1" applyAlignment="1">
      <alignment horizontal="left" vertical="center" wrapText="1"/>
    </xf>
    <xf numFmtId="0" fontId="11" fillId="32" borderId="20" xfId="0" applyFont="1" applyFill="1" applyBorder="1" applyAlignment="1">
      <alignment vertical="center"/>
    </xf>
    <xf numFmtId="0" fontId="11" fillId="0" borderId="16" xfId="0" applyFont="1" applyBorder="1" applyAlignment="1">
      <alignment/>
    </xf>
    <xf numFmtId="0" fontId="11" fillId="32" borderId="16" xfId="0" applyFont="1" applyFill="1" applyBorder="1" applyAlignment="1">
      <alignment/>
    </xf>
    <xf numFmtId="0" fontId="46" fillId="32" borderId="16" xfId="0" applyFont="1" applyFill="1" applyBorder="1" applyAlignment="1">
      <alignment/>
    </xf>
    <xf numFmtId="0" fontId="40" fillId="32" borderId="16" xfId="0" applyFont="1" applyFill="1" applyBorder="1" applyAlignment="1">
      <alignment horizontal="left" vertical="center" wrapText="1"/>
    </xf>
    <xf numFmtId="4" fontId="15" fillId="32" borderId="16" xfId="0" applyNumberFormat="1" applyFont="1" applyFill="1" applyBorder="1" applyAlignment="1">
      <alignment vertical="center"/>
    </xf>
    <xf numFmtId="49" fontId="11" fillId="0" borderId="31" xfId="0" applyNumberFormat="1" applyFont="1" applyBorder="1" applyAlignment="1">
      <alignment horizontal="center" vertical="center"/>
    </xf>
    <xf numFmtId="4" fontId="11" fillId="32" borderId="3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left" wrapText="1"/>
    </xf>
    <xf numFmtId="0" fontId="5" fillId="32" borderId="20" xfId="0" applyFont="1" applyFill="1" applyBorder="1" applyAlignment="1">
      <alignment horizontal="left" wrapText="1"/>
    </xf>
    <xf numFmtId="0" fontId="5" fillId="0" borderId="20" xfId="0" applyFont="1" applyBorder="1" applyAlignment="1">
      <alignment horizontal="left"/>
    </xf>
    <xf numFmtId="0" fontId="5" fillId="32" borderId="0" xfId="0" applyFont="1" applyFill="1" applyAlignment="1">
      <alignment horizontal="left"/>
    </xf>
    <xf numFmtId="0" fontId="5" fillId="32" borderId="20" xfId="0" applyFont="1" applyFill="1" applyBorder="1" applyAlignment="1">
      <alignment horizontal="left"/>
    </xf>
    <xf numFmtId="0" fontId="5" fillId="32" borderId="0" xfId="0" applyFont="1" applyFill="1" applyAlignment="1">
      <alignment horizontal="left" vertical="center"/>
    </xf>
    <xf numFmtId="0" fontId="5" fillId="32" borderId="2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center"/>
    </xf>
    <xf numFmtId="0" fontId="15" fillId="32" borderId="45" xfId="0" applyFont="1" applyFill="1" applyBorder="1" applyAlignment="1">
      <alignment horizontal="left" vertical="center"/>
    </xf>
    <xf numFmtId="0" fontId="15" fillId="32" borderId="35" xfId="0" applyFont="1" applyFill="1" applyBorder="1" applyAlignment="1">
      <alignment horizontal="left" vertical="center"/>
    </xf>
    <xf numFmtId="0" fontId="15" fillId="32" borderId="45" xfId="0" applyFont="1" applyFill="1" applyBorder="1" applyAlignment="1">
      <alignment horizontal="left" vertical="center" wrapText="1"/>
    </xf>
    <xf numFmtId="0" fontId="15" fillId="32" borderId="35" xfId="0" applyFont="1" applyFill="1" applyBorder="1" applyAlignment="1">
      <alignment horizontal="left" vertical="center" wrapText="1"/>
    </xf>
    <xf numFmtId="0" fontId="15" fillId="32" borderId="18" xfId="0" applyFont="1" applyFill="1" applyBorder="1" applyAlignment="1">
      <alignment horizontal="center" vertical="center" wrapText="1"/>
    </xf>
    <xf numFmtId="0" fontId="15" fillId="32" borderId="25" xfId="0" applyFont="1" applyFill="1" applyBorder="1" applyAlignment="1">
      <alignment horizontal="center" vertical="center" wrapText="1"/>
    </xf>
    <xf numFmtId="0" fontId="16" fillId="32" borderId="32" xfId="0" applyFont="1" applyFill="1" applyBorder="1" applyAlignment="1">
      <alignment wrapText="1"/>
    </xf>
    <xf numFmtId="0" fontId="16" fillId="32" borderId="34" xfId="0" applyFont="1" applyFill="1" applyBorder="1" applyAlignment="1">
      <alignment wrapText="1"/>
    </xf>
    <xf numFmtId="0" fontId="15" fillId="32" borderId="17" xfId="0" applyFont="1" applyFill="1" applyBorder="1" applyAlignment="1">
      <alignment vertical="center" wrapText="1"/>
    </xf>
    <xf numFmtId="0" fontId="15" fillId="32" borderId="26" xfId="0" applyFont="1" applyFill="1" applyBorder="1" applyAlignment="1">
      <alignment vertical="center" wrapText="1"/>
    </xf>
    <xf numFmtId="0" fontId="15" fillId="32" borderId="45" xfId="0" applyFont="1" applyFill="1" applyBorder="1" applyAlignment="1">
      <alignment horizontal="left" vertical="center" wrapText="1"/>
    </xf>
    <xf numFmtId="0" fontId="0" fillId="32" borderId="35" xfId="0" applyFont="1" applyFill="1" applyBorder="1" applyAlignment="1">
      <alignment vertical="center" wrapText="1"/>
    </xf>
    <xf numFmtId="0" fontId="17" fillId="0" borderId="20" xfId="0" applyFont="1" applyBorder="1" applyAlignment="1">
      <alignment horizontal="center" wrapText="1"/>
    </xf>
    <xf numFmtId="0" fontId="5" fillId="32" borderId="0" xfId="0" applyFont="1" applyFill="1" applyAlignment="1">
      <alignment horizontal="center" vertical="center"/>
    </xf>
    <xf numFmtId="0" fontId="15" fillId="32" borderId="65" xfId="0" applyFont="1" applyFill="1" applyBorder="1" applyAlignment="1">
      <alignment vertical="center" wrapText="1"/>
    </xf>
    <xf numFmtId="0" fontId="0" fillId="32" borderId="38" xfId="0" applyFont="1" applyFill="1" applyBorder="1" applyAlignment="1">
      <alignment/>
    </xf>
    <xf numFmtId="0" fontId="18" fillId="32" borderId="0" xfId="0" applyFont="1" applyFill="1" applyAlignment="1">
      <alignment horizontal="left"/>
    </xf>
    <xf numFmtId="0" fontId="24" fillId="0" borderId="0" xfId="0" applyFont="1" applyAlignment="1">
      <alignment horizontal="center" vertical="center" wrapText="1" shrinkToFit="1"/>
    </xf>
    <xf numFmtId="0" fontId="25" fillId="0" borderId="0" xfId="0" applyFont="1" applyAlignment="1">
      <alignment horizontal="left"/>
    </xf>
    <xf numFmtId="0" fontId="14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4" fillId="32" borderId="18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51" fillId="33" borderId="0" xfId="0" applyFont="1" applyFill="1" applyAlignment="1">
      <alignment horizontal="left" vertical="center"/>
    </xf>
    <xf numFmtId="0" fontId="14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37" fillId="33" borderId="20" xfId="0" applyFont="1" applyFill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52" fillId="33" borderId="0" xfId="0" applyFont="1" applyFill="1" applyAlignment="1">
      <alignment horizontal="center" vertical="top" wrapText="1"/>
    </xf>
    <xf numFmtId="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4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" fillId="0" borderId="37" xfId="58" applyFont="1" applyBorder="1" applyAlignment="1">
      <alignment horizontal="center" vertical="center"/>
      <protection/>
    </xf>
    <xf numFmtId="0" fontId="2" fillId="0" borderId="22" xfId="58" applyFont="1" applyBorder="1" applyAlignment="1">
      <alignment horizontal="center" vertical="center"/>
      <protection/>
    </xf>
    <xf numFmtId="0" fontId="2" fillId="0" borderId="40" xfId="58" applyFont="1" applyBorder="1" applyAlignment="1">
      <alignment horizontal="center" vertical="center"/>
      <protection/>
    </xf>
    <xf numFmtId="49" fontId="54" fillId="35" borderId="14" xfId="58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54" fillId="35" borderId="14" xfId="58" applyFont="1" applyFill="1" applyBorder="1" applyAlignment="1">
      <alignment horizontal="left" vertical="center" wrapText="1"/>
      <protection/>
    </xf>
    <xf numFmtId="0" fontId="54" fillId="0" borderId="14" xfId="58" applyFont="1" applyBorder="1" applyAlignment="1">
      <alignment horizontal="center" vertical="center" wrapText="1"/>
      <protection/>
    </xf>
    <xf numFmtId="0" fontId="54" fillId="35" borderId="22" xfId="58" applyFont="1" applyFill="1" applyBorder="1" applyAlignment="1">
      <alignment horizontal="left" vertical="center" wrapText="1"/>
      <protection/>
    </xf>
    <xf numFmtId="0" fontId="54" fillId="35" borderId="14" xfId="58" applyFont="1" applyFill="1" applyBorder="1" applyAlignment="1">
      <alignment horizontal="center" vertical="center" wrapText="1"/>
      <protection/>
    </xf>
    <xf numFmtId="49" fontId="54" fillId="0" borderId="14" xfId="58" applyNumberFormat="1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23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4058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571500</xdr:colOff>
      <xdr:row>545</xdr:row>
      <xdr:rowOff>0</xdr:rowOff>
    </xdr:from>
    <xdr:ext cx="10477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076575" y="342290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571500</xdr:colOff>
      <xdr:row>726</xdr:row>
      <xdr:rowOff>0</xdr:rowOff>
    </xdr:from>
    <xdr:ext cx="10477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3076575" y="4776882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571500</xdr:colOff>
      <xdr:row>726</xdr:row>
      <xdr:rowOff>0</xdr:rowOff>
    </xdr:from>
    <xdr:ext cx="10477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3076575" y="4776882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545</xdr:row>
      <xdr:rowOff>0</xdr:rowOff>
    </xdr:from>
    <xdr:ext cx="104775" cy="257175"/>
    <xdr:sp fLocksText="0">
      <xdr:nvSpPr>
        <xdr:cNvPr id="4" name="Text Box 4"/>
        <xdr:cNvSpPr txBox="1">
          <a:spLocks noChangeArrowheads="1"/>
        </xdr:cNvSpPr>
      </xdr:nvSpPr>
      <xdr:spPr>
        <a:xfrm>
          <a:off x="1933575" y="342290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726</xdr:row>
      <xdr:rowOff>0</xdr:rowOff>
    </xdr:from>
    <xdr:ext cx="104775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1933575" y="4776882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726</xdr:row>
      <xdr:rowOff>0</xdr:rowOff>
    </xdr:from>
    <xdr:ext cx="104775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1933575" y="4776882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571500</xdr:colOff>
      <xdr:row>394</xdr:row>
      <xdr:rowOff>0</xdr:rowOff>
    </xdr:from>
    <xdr:ext cx="104775" cy="257175"/>
    <xdr:sp fLocksText="0">
      <xdr:nvSpPr>
        <xdr:cNvPr id="7" name="Text Box 8"/>
        <xdr:cNvSpPr txBox="1">
          <a:spLocks noChangeArrowheads="1"/>
        </xdr:cNvSpPr>
      </xdr:nvSpPr>
      <xdr:spPr>
        <a:xfrm>
          <a:off x="3076575" y="2484310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394</xdr:row>
      <xdr:rowOff>0</xdr:rowOff>
    </xdr:from>
    <xdr:ext cx="104775" cy="257175"/>
    <xdr:sp fLocksText="0">
      <xdr:nvSpPr>
        <xdr:cNvPr id="8" name="Text Box 9"/>
        <xdr:cNvSpPr txBox="1">
          <a:spLocks noChangeArrowheads="1"/>
        </xdr:cNvSpPr>
      </xdr:nvSpPr>
      <xdr:spPr>
        <a:xfrm>
          <a:off x="1933575" y="2484310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571500</xdr:colOff>
      <xdr:row>394</xdr:row>
      <xdr:rowOff>0</xdr:rowOff>
    </xdr:from>
    <xdr:ext cx="104775" cy="257175"/>
    <xdr:sp fLocksText="0">
      <xdr:nvSpPr>
        <xdr:cNvPr id="9" name="Text Box 10"/>
        <xdr:cNvSpPr txBox="1">
          <a:spLocks noChangeArrowheads="1"/>
        </xdr:cNvSpPr>
      </xdr:nvSpPr>
      <xdr:spPr>
        <a:xfrm>
          <a:off x="3076575" y="2484310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394</xdr:row>
      <xdr:rowOff>0</xdr:rowOff>
    </xdr:from>
    <xdr:ext cx="104775" cy="257175"/>
    <xdr:sp fLocksText="0">
      <xdr:nvSpPr>
        <xdr:cNvPr id="10" name="Text Box 11"/>
        <xdr:cNvSpPr txBox="1">
          <a:spLocks noChangeArrowheads="1"/>
        </xdr:cNvSpPr>
      </xdr:nvSpPr>
      <xdr:spPr>
        <a:xfrm>
          <a:off x="1933575" y="2484310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571500</xdr:colOff>
      <xdr:row>409</xdr:row>
      <xdr:rowOff>0</xdr:rowOff>
    </xdr:from>
    <xdr:ext cx="104775" cy="257175"/>
    <xdr:sp fLocksText="0">
      <xdr:nvSpPr>
        <xdr:cNvPr id="11" name="Text Box 12"/>
        <xdr:cNvSpPr txBox="1">
          <a:spLocks noChangeArrowheads="1"/>
        </xdr:cNvSpPr>
      </xdr:nvSpPr>
      <xdr:spPr>
        <a:xfrm>
          <a:off x="3076575" y="25955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409</xdr:row>
      <xdr:rowOff>0</xdr:rowOff>
    </xdr:from>
    <xdr:ext cx="104775" cy="257175"/>
    <xdr:sp fLocksText="0">
      <xdr:nvSpPr>
        <xdr:cNvPr id="12" name="Text Box 13"/>
        <xdr:cNvSpPr txBox="1">
          <a:spLocks noChangeArrowheads="1"/>
        </xdr:cNvSpPr>
      </xdr:nvSpPr>
      <xdr:spPr>
        <a:xfrm>
          <a:off x="1933575" y="25955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571500</xdr:colOff>
      <xdr:row>409</xdr:row>
      <xdr:rowOff>0</xdr:rowOff>
    </xdr:from>
    <xdr:ext cx="104775" cy="257175"/>
    <xdr:sp fLocksText="0">
      <xdr:nvSpPr>
        <xdr:cNvPr id="13" name="Text Box 14"/>
        <xdr:cNvSpPr txBox="1">
          <a:spLocks noChangeArrowheads="1"/>
        </xdr:cNvSpPr>
      </xdr:nvSpPr>
      <xdr:spPr>
        <a:xfrm>
          <a:off x="3076575" y="25955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409</xdr:row>
      <xdr:rowOff>0</xdr:rowOff>
    </xdr:from>
    <xdr:ext cx="104775" cy="257175"/>
    <xdr:sp fLocksText="0">
      <xdr:nvSpPr>
        <xdr:cNvPr id="14" name="Text Box 15"/>
        <xdr:cNvSpPr txBox="1">
          <a:spLocks noChangeArrowheads="1"/>
        </xdr:cNvSpPr>
      </xdr:nvSpPr>
      <xdr:spPr>
        <a:xfrm>
          <a:off x="1933575" y="25955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409</xdr:row>
      <xdr:rowOff>0</xdr:rowOff>
    </xdr:from>
    <xdr:ext cx="104775" cy="257175"/>
    <xdr:sp fLocksText="0">
      <xdr:nvSpPr>
        <xdr:cNvPr id="15" name="Text Box 18"/>
        <xdr:cNvSpPr txBox="1">
          <a:spLocks noChangeArrowheads="1"/>
        </xdr:cNvSpPr>
      </xdr:nvSpPr>
      <xdr:spPr>
        <a:xfrm>
          <a:off x="1933575" y="25955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409</xdr:row>
      <xdr:rowOff>0</xdr:rowOff>
    </xdr:from>
    <xdr:ext cx="104775" cy="257175"/>
    <xdr:sp fLocksText="0">
      <xdr:nvSpPr>
        <xdr:cNvPr id="16" name="Text Box 19"/>
        <xdr:cNvSpPr txBox="1">
          <a:spLocks noChangeArrowheads="1"/>
        </xdr:cNvSpPr>
      </xdr:nvSpPr>
      <xdr:spPr>
        <a:xfrm>
          <a:off x="1933575" y="25955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410</xdr:row>
      <xdr:rowOff>0</xdr:rowOff>
    </xdr:from>
    <xdr:ext cx="104775" cy="257175"/>
    <xdr:sp fLocksText="0">
      <xdr:nvSpPr>
        <xdr:cNvPr id="17" name="Text Box 20"/>
        <xdr:cNvSpPr txBox="1">
          <a:spLocks noChangeArrowheads="1"/>
        </xdr:cNvSpPr>
      </xdr:nvSpPr>
      <xdr:spPr>
        <a:xfrm>
          <a:off x="1933575" y="260013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410</xdr:row>
      <xdr:rowOff>0</xdr:rowOff>
    </xdr:from>
    <xdr:ext cx="104775" cy="257175"/>
    <xdr:sp fLocksText="0">
      <xdr:nvSpPr>
        <xdr:cNvPr id="18" name="Text Box 21"/>
        <xdr:cNvSpPr txBox="1">
          <a:spLocks noChangeArrowheads="1"/>
        </xdr:cNvSpPr>
      </xdr:nvSpPr>
      <xdr:spPr>
        <a:xfrm>
          <a:off x="1933575" y="260013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413</xdr:row>
      <xdr:rowOff>0</xdr:rowOff>
    </xdr:from>
    <xdr:ext cx="104775" cy="257175"/>
    <xdr:sp fLocksText="0">
      <xdr:nvSpPr>
        <xdr:cNvPr id="19" name="Text Box 22"/>
        <xdr:cNvSpPr txBox="1">
          <a:spLocks noChangeArrowheads="1"/>
        </xdr:cNvSpPr>
      </xdr:nvSpPr>
      <xdr:spPr>
        <a:xfrm>
          <a:off x="1933575" y="2613850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413</xdr:row>
      <xdr:rowOff>0</xdr:rowOff>
    </xdr:from>
    <xdr:ext cx="104775" cy="257175"/>
    <xdr:sp fLocksText="0">
      <xdr:nvSpPr>
        <xdr:cNvPr id="20" name="Text Box 23"/>
        <xdr:cNvSpPr txBox="1">
          <a:spLocks noChangeArrowheads="1"/>
        </xdr:cNvSpPr>
      </xdr:nvSpPr>
      <xdr:spPr>
        <a:xfrm>
          <a:off x="1933575" y="2613850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409</xdr:row>
      <xdr:rowOff>0</xdr:rowOff>
    </xdr:from>
    <xdr:ext cx="104775" cy="257175"/>
    <xdr:sp fLocksText="0">
      <xdr:nvSpPr>
        <xdr:cNvPr id="21" name="Text Box 24"/>
        <xdr:cNvSpPr txBox="1">
          <a:spLocks noChangeArrowheads="1"/>
        </xdr:cNvSpPr>
      </xdr:nvSpPr>
      <xdr:spPr>
        <a:xfrm>
          <a:off x="1933575" y="25955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409</xdr:row>
      <xdr:rowOff>0</xdr:rowOff>
    </xdr:from>
    <xdr:ext cx="104775" cy="257175"/>
    <xdr:sp fLocksText="0">
      <xdr:nvSpPr>
        <xdr:cNvPr id="22" name="Text Box 25"/>
        <xdr:cNvSpPr txBox="1">
          <a:spLocks noChangeArrowheads="1"/>
        </xdr:cNvSpPr>
      </xdr:nvSpPr>
      <xdr:spPr>
        <a:xfrm>
          <a:off x="1933575" y="25955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410</xdr:row>
      <xdr:rowOff>0</xdr:rowOff>
    </xdr:from>
    <xdr:ext cx="104775" cy="257175"/>
    <xdr:sp fLocksText="0">
      <xdr:nvSpPr>
        <xdr:cNvPr id="23" name="Text Box 26"/>
        <xdr:cNvSpPr txBox="1">
          <a:spLocks noChangeArrowheads="1"/>
        </xdr:cNvSpPr>
      </xdr:nvSpPr>
      <xdr:spPr>
        <a:xfrm>
          <a:off x="1933575" y="260013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410</xdr:row>
      <xdr:rowOff>0</xdr:rowOff>
    </xdr:from>
    <xdr:ext cx="104775" cy="257175"/>
    <xdr:sp fLocksText="0">
      <xdr:nvSpPr>
        <xdr:cNvPr id="24" name="Text Box 27"/>
        <xdr:cNvSpPr txBox="1">
          <a:spLocks noChangeArrowheads="1"/>
        </xdr:cNvSpPr>
      </xdr:nvSpPr>
      <xdr:spPr>
        <a:xfrm>
          <a:off x="1933575" y="260013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413</xdr:row>
      <xdr:rowOff>0</xdr:rowOff>
    </xdr:from>
    <xdr:ext cx="104775" cy="257175"/>
    <xdr:sp fLocksText="0">
      <xdr:nvSpPr>
        <xdr:cNvPr id="25" name="Text Box 28"/>
        <xdr:cNvSpPr txBox="1">
          <a:spLocks noChangeArrowheads="1"/>
        </xdr:cNvSpPr>
      </xdr:nvSpPr>
      <xdr:spPr>
        <a:xfrm>
          <a:off x="1933575" y="2613850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413</xdr:row>
      <xdr:rowOff>0</xdr:rowOff>
    </xdr:from>
    <xdr:ext cx="104775" cy="257175"/>
    <xdr:sp fLocksText="0">
      <xdr:nvSpPr>
        <xdr:cNvPr id="26" name="Text Box 29"/>
        <xdr:cNvSpPr txBox="1">
          <a:spLocks noChangeArrowheads="1"/>
        </xdr:cNvSpPr>
      </xdr:nvSpPr>
      <xdr:spPr>
        <a:xfrm>
          <a:off x="1933575" y="2613850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415</xdr:row>
      <xdr:rowOff>0</xdr:rowOff>
    </xdr:from>
    <xdr:ext cx="104775" cy="257175"/>
    <xdr:sp fLocksText="0">
      <xdr:nvSpPr>
        <xdr:cNvPr id="27" name="Text Box 30"/>
        <xdr:cNvSpPr txBox="1">
          <a:spLocks noChangeArrowheads="1"/>
        </xdr:cNvSpPr>
      </xdr:nvSpPr>
      <xdr:spPr>
        <a:xfrm>
          <a:off x="1933575" y="262470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415</xdr:row>
      <xdr:rowOff>0</xdr:rowOff>
    </xdr:from>
    <xdr:ext cx="104775" cy="257175"/>
    <xdr:sp fLocksText="0">
      <xdr:nvSpPr>
        <xdr:cNvPr id="28" name="Text Box 31"/>
        <xdr:cNvSpPr txBox="1">
          <a:spLocks noChangeArrowheads="1"/>
        </xdr:cNvSpPr>
      </xdr:nvSpPr>
      <xdr:spPr>
        <a:xfrm>
          <a:off x="1933575" y="262470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415</xdr:row>
      <xdr:rowOff>0</xdr:rowOff>
    </xdr:from>
    <xdr:ext cx="104775" cy="257175"/>
    <xdr:sp fLocksText="0">
      <xdr:nvSpPr>
        <xdr:cNvPr id="29" name="Text Box 32"/>
        <xdr:cNvSpPr txBox="1">
          <a:spLocks noChangeArrowheads="1"/>
        </xdr:cNvSpPr>
      </xdr:nvSpPr>
      <xdr:spPr>
        <a:xfrm>
          <a:off x="1933575" y="262470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415</xdr:row>
      <xdr:rowOff>0</xdr:rowOff>
    </xdr:from>
    <xdr:ext cx="104775" cy="257175"/>
    <xdr:sp fLocksText="0">
      <xdr:nvSpPr>
        <xdr:cNvPr id="30" name="Text Box 33"/>
        <xdr:cNvSpPr txBox="1">
          <a:spLocks noChangeArrowheads="1"/>
        </xdr:cNvSpPr>
      </xdr:nvSpPr>
      <xdr:spPr>
        <a:xfrm>
          <a:off x="1933575" y="262470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416</xdr:row>
      <xdr:rowOff>0</xdr:rowOff>
    </xdr:from>
    <xdr:ext cx="104775" cy="257175"/>
    <xdr:sp fLocksText="0">
      <xdr:nvSpPr>
        <xdr:cNvPr id="31" name="Text Box 34"/>
        <xdr:cNvSpPr txBox="1">
          <a:spLocks noChangeArrowheads="1"/>
        </xdr:cNvSpPr>
      </xdr:nvSpPr>
      <xdr:spPr>
        <a:xfrm>
          <a:off x="1933575" y="262928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416</xdr:row>
      <xdr:rowOff>0</xdr:rowOff>
    </xdr:from>
    <xdr:ext cx="104775" cy="257175"/>
    <xdr:sp fLocksText="0">
      <xdr:nvSpPr>
        <xdr:cNvPr id="32" name="Text Box 35"/>
        <xdr:cNvSpPr txBox="1">
          <a:spLocks noChangeArrowheads="1"/>
        </xdr:cNvSpPr>
      </xdr:nvSpPr>
      <xdr:spPr>
        <a:xfrm>
          <a:off x="1933575" y="262928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416</xdr:row>
      <xdr:rowOff>0</xdr:rowOff>
    </xdr:from>
    <xdr:ext cx="104775" cy="257175"/>
    <xdr:sp fLocksText="0">
      <xdr:nvSpPr>
        <xdr:cNvPr id="33" name="Text Box 36"/>
        <xdr:cNvSpPr txBox="1">
          <a:spLocks noChangeArrowheads="1"/>
        </xdr:cNvSpPr>
      </xdr:nvSpPr>
      <xdr:spPr>
        <a:xfrm>
          <a:off x="1933575" y="262928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416</xdr:row>
      <xdr:rowOff>0</xdr:rowOff>
    </xdr:from>
    <xdr:ext cx="104775" cy="257175"/>
    <xdr:sp fLocksText="0">
      <xdr:nvSpPr>
        <xdr:cNvPr id="34" name="Text Box 37"/>
        <xdr:cNvSpPr txBox="1">
          <a:spLocks noChangeArrowheads="1"/>
        </xdr:cNvSpPr>
      </xdr:nvSpPr>
      <xdr:spPr>
        <a:xfrm>
          <a:off x="1933575" y="262928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417</xdr:row>
      <xdr:rowOff>0</xdr:rowOff>
    </xdr:from>
    <xdr:ext cx="104775" cy="257175"/>
    <xdr:sp fLocksText="0">
      <xdr:nvSpPr>
        <xdr:cNvPr id="35" name="Text Box 38"/>
        <xdr:cNvSpPr txBox="1">
          <a:spLocks noChangeArrowheads="1"/>
        </xdr:cNvSpPr>
      </xdr:nvSpPr>
      <xdr:spPr>
        <a:xfrm>
          <a:off x="1933575" y="263385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417</xdr:row>
      <xdr:rowOff>0</xdr:rowOff>
    </xdr:from>
    <xdr:ext cx="104775" cy="257175"/>
    <xdr:sp fLocksText="0">
      <xdr:nvSpPr>
        <xdr:cNvPr id="36" name="Text Box 39"/>
        <xdr:cNvSpPr txBox="1">
          <a:spLocks noChangeArrowheads="1"/>
        </xdr:cNvSpPr>
      </xdr:nvSpPr>
      <xdr:spPr>
        <a:xfrm>
          <a:off x="1933575" y="263385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417</xdr:row>
      <xdr:rowOff>0</xdr:rowOff>
    </xdr:from>
    <xdr:ext cx="104775" cy="257175"/>
    <xdr:sp fLocksText="0">
      <xdr:nvSpPr>
        <xdr:cNvPr id="37" name="Text Box 40"/>
        <xdr:cNvSpPr txBox="1">
          <a:spLocks noChangeArrowheads="1"/>
        </xdr:cNvSpPr>
      </xdr:nvSpPr>
      <xdr:spPr>
        <a:xfrm>
          <a:off x="1933575" y="263385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417</xdr:row>
      <xdr:rowOff>0</xdr:rowOff>
    </xdr:from>
    <xdr:ext cx="104775" cy="257175"/>
    <xdr:sp fLocksText="0">
      <xdr:nvSpPr>
        <xdr:cNvPr id="38" name="Text Box 41"/>
        <xdr:cNvSpPr txBox="1">
          <a:spLocks noChangeArrowheads="1"/>
        </xdr:cNvSpPr>
      </xdr:nvSpPr>
      <xdr:spPr>
        <a:xfrm>
          <a:off x="1933575" y="263385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418</xdr:row>
      <xdr:rowOff>0</xdr:rowOff>
    </xdr:from>
    <xdr:ext cx="104775" cy="257175"/>
    <xdr:sp fLocksText="0">
      <xdr:nvSpPr>
        <xdr:cNvPr id="39" name="Text Box 42"/>
        <xdr:cNvSpPr txBox="1">
          <a:spLocks noChangeArrowheads="1"/>
        </xdr:cNvSpPr>
      </xdr:nvSpPr>
      <xdr:spPr>
        <a:xfrm>
          <a:off x="1933575" y="263994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418</xdr:row>
      <xdr:rowOff>0</xdr:rowOff>
    </xdr:from>
    <xdr:ext cx="104775" cy="257175"/>
    <xdr:sp fLocksText="0">
      <xdr:nvSpPr>
        <xdr:cNvPr id="40" name="Text Box 43"/>
        <xdr:cNvSpPr txBox="1">
          <a:spLocks noChangeArrowheads="1"/>
        </xdr:cNvSpPr>
      </xdr:nvSpPr>
      <xdr:spPr>
        <a:xfrm>
          <a:off x="1933575" y="263994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418</xdr:row>
      <xdr:rowOff>0</xdr:rowOff>
    </xdr:from>
    <xdr:ext cx="104775" cy="257175"/>
    <xdr:sp fLocksText="0">
      <xdr:nvSpPr>
        <xdr:cNvPr id="41" name="Text Box 44"/>
        <xdr:cNvSpPr txBox="1">
          <a:spLocks noChangeArrowheads="1"/>
        </xdr:cNvSpPr>
      </xdr:nvSpPr>
      <xdr:spPr>
        <a:xfrm>
          <a:off x="1933575" y="263994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418</xdr:row>
      <xdr:rowOff>0</xdr:rowOff>
    </xdr:from>
    <xdr:ext cx="104775" cy="257175"/>
    <xdr:sp fLocksText="0">
      <xdr:nvSpPr>
        <xdr:cNvPr id="42" name="Text Box 45"/>
        <xdr:cNvSpPr txBox="1">
          <a:spLocks noChangeArrowheads="1"/>
        </xdr:cNvSpPr>
      </xdr:nvSpPr>
      <xdr:spPr>
        <a:xfrm>
          <a:off x="1933575" y="263994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419</xdr:row>
      <xdr:rowOff>0</xdr:rowOff>
    </xdr:from>
    <xdr:ext cx="104775" cy="257175"/>
    <xdr:sp fLocksText="0">
      <xdr:nvSpPr>
        <xdr:cNvPr id="43" name="Text Box 46"/>
        <xdr:cNvSpPr txBox="1">
          <a:spLocks noChangeArrowheads="1"/>
        </xdr:cNvSpPr>
      </xdr:nvSpPr>
      <xdr:spPr>
        <a:xfrm>
          <a:off x="1933575" y="26445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419</xdr:row>
      <xdr:rowOff>0</xdr:rowOff>
    </xdr:from>
    <xdr:ext cx="104775" cy="257175"/>
    <xdr:sp fLocksText="0">
      <xdr:nvSpPr>
        <xdr:cNvPr id="44" name="Text Box 47"/>
        <xdr:cNvSpPr txBox="1">
          <a:spLocks noChangeArrowheads="1"/>
        </xdr:cNvSpPr>
      </xdr:nvSpPr>
      <xdr:spPr>
        <a:xfrm>
          <a:off x="1933575" y="26445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419</xdr:row>
      <xdr:rowOff>0</xdr:rowOff>
    </xdr:from>
    <xdr:ext cx="104775" cy="257175"/>
    <xdr:sp fLocksText="0">
      <xdr:nvSpPr>
        <xdr:cNvPr id="45" name="Text Box 48"/>
        <xdr:cNvSpPr txBox="1">
          <a:spLocks noChangeArrowheads="1"/>
        </xdr:cNvSpPr>
      </xdr:nvSpPr>
      <xdr:spPr>
        <a:xfrm>
          <a:off x="1933575" y="26445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419</xdr:row>
      <xdr:rowOff>0</xdr:rowOff>
    </xdr:from>
    <xdr:ext cx="104775" cy="257175"/>
    <xdr:sp fLocksText="0">
      <xdr:nvSpPr>
        <xdr:cNvPr id="46" name="Text Box 49"/>
        <xdr:cNvSpPr txBox="1">
          <a:spLocks noChangeArrowheads="1"/>
        </xdr:cNvSpPr>
      </xdr:nvSpPr>
      <xdr:spPr>
        <a:xfrm>
          <a:off x="1933575" y="26445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415</xdr:row>
      <xdr:rowOff>0</xdr:rowOff>
    </xdr:from>
    <xdr:ext cx="104775" cy="257175"/>
    <xdr:sp fLocksText="0">
      <xdr:nvSpPr>
        <xdr:cNvPr id="47" name="Text Box 50"/>
        <xdr:cNvSpPr txBox="1">
          <a:spLocks noChangeArrowheads="1"/>
        </xdr:cNvSpPr>
      </xdr:nvSpPr>
      <xdr:spPr>
        <a:xfrm>
          <a:off x="1933575" y="262470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415</xdr:row>
      <xdr:rowOff>0</xdr:rowOff>
    </xdr:from>
    <xdr:ext cx="104775" cy="257175"/>
    <xdr:sp fLocksText="0">
      <xdr:nvSpPr>
        <xdr:cNvPr id="48" name="Text Box 51"/>
        <xdr:cNvSpPr txBox="1">
          <a:spLocks noChangeArrowheads="1"/>
        </xdr:cNvSpPr>
      </xdr:nvSpPr>
      <xdr:spPr>
        <a:xfrm>
          <a:off x="1933575" y="262470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415</xdr:row>
      <xdr:rowOff>0</xdr:rowOff>
    </xdr:from>
    <xdr:ext cx="104775" cy="257175"/>
    <xdr:sp fLocksText="0">
      <xdr:nvSpPr>
        <xdr:cNvPr id="49" name="Text Box 52"/>
        <xdr:cNvSpPr txBox="1">
          <a:spLocks noChangeArrowheads="1"/>
        </xdr:cNvSpPr>
      </xdr:nvSpPr>
      <xdr:spPr>
        <a:xfrm>
          <a:off x="1933575" y="262470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415</xdr:row>
      <xdr:rowOff>0</xdr:rowOff>
    </xdr:from>
    <xdr:ext cx="104775" cy="257175"/>
    <xdr:sp fLocksText="0">
      <xdr:nvSpPr>
        <xdr:cNvPr id="50" name="Text Box 53"/>
        <xdr:cNvSpPr txBox="1">
          <a:spLocks noChangeArrowheads="1"/>
        </xdr:cNvSpPr>
      </xdr:nvSpPr>
      <xdr:spPr>
        <a:xfrm>
          <a:off x="1933575" y="262470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416</xdr:row>
      <xdr:rowOff>0</xdr:rowOff>
    </xdr:from>
    <xdr:ext cx="104775" cy="257175"/>
    <xdr:sp fLocksText="0">
      <xdr:nvSpPr>
        <xdr:cNvPr id="51" name="Text Box 54"/>
        <xdr:cNvSpPr txBox="1">
          <a:spLocks noChangeArrowheads="1"/>
        </xdr:cNvSpPr>
      </xdr:nvSpPr>
      <xdr:spPr>
        <a:xfrm>
          <a:off x="1933575" y="262928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416</xdr:row>
      <xdr:rowOff>0</xdr:rowOff>
    </xdr:from>
    <xdr:ext cx="104775" cy="257175"/>
    <xdr:sp fLocksText="0">
      <xdr:nvSpPr>
        <xdr:cNvPr id="52" name="Text Box 55"/>
        <xdr:cNvSpPr txBox="1">
          <a:spLocks noChangeArrowheads="1"/>
        </xdr:cNvSpPr>
      </xdr:nvSpPr>
      <xdr:spPr>
        <a:xfrm>
          <a:off x="1933575" y="262928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416</xdr:row>
      <xdr:rowOff>0</xdr:rowOff>
    </xdr:from>
    <xdr:ext cx="104775" cy="257175"/>
    <xdr:sp fLocksText="0">
      <xdr:nvSpPr>
        <xdr:cNvPr id="53" name="Text Box 56"/>
        <xdr:cNvSpPr txBox="1">
          <a:spLocks noChangeArrowheads="1"/>
        </xdr:cNvSpPr>
      </xdr:nvSpPr>
      <xdr:spPr>
        <a:xfrm>
          <a:off x="1933575" y="262928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416</xdr:row>
      <xdr:rowOff>0</xdr:rowOff>
    </xdr:from>
    <xdr:ext cx="104775" cy="257175"/>
    <xdr:sp fLocksText="0">
      <xdr:nvSpPr>
        <xdr:cNvPr id="54" name="Text Box 57"/>
        <xdr:cNvSpPr txBox="1">
          <a:spLocks noChangeArrowheads="1"/>
        </xdr:cNvSpPr>
      </xdr:nvSpPr>
      <xdr:spPr>
        <a:xfrm>
          <a:off x="1933575" y="262928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417</xdr:row>
      <xdr:rowOff>0</xdr:rowOff>
    </xdr:from>
    <xdr:ext cx="104775" cy="257175"/>
    <xdr:sp fLocksText="0">
      <xdr:nvSpPr>
        <xdr:cNvPr id="55" name="Text Box 58"/>
        <xdr:cNvSpPr txBox="1">
          <a:spLocks noChangeArrowheads="1"/>
        </xdr:cNvSpPr>
      </xdr:nvSpPr>
      <xdr:spPr>
        <a:xfrm>
          <a:off x="1933575" y="263385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417</xdr:row>
      <xdr:rowOff>0</xdr:rowOff>
    </xdr:from>
    <xdr:ext cx="104775" cy="257175"/>
    <xdr:sp fLocksText="0">
      <xdr:nvSpPr>
        <xdr:cNvPr id="56" name="Text Box 59"/>
        <xdr:cNvSpPr txBox="1">
          <a:spLocks noChangeArrowheads="1"/>
        </xdr:cNvSpPr>
      </xdr:nvSpPr>
      <xdr:spPr>
        <a:xfrm>
          <a:off x="1933575" y="263385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417</xdr:row>
      <xdr:rowOff>0</xdr:rowOff>
    </xdr:from>
    <xdr:ext cx="104775" cy="257175"/>
    <xdr:sp fLocksText="0">
      <xdr:nvSpPr>
        <xdr:cNvPr id="57" name="Text Box 60"/>
        <xdr:cNvSpPr txBox="1">
          <a:spLocks noChangeArrowheads="1"/>
        </xdr:cNvSpPr>
      </xdr:nvSpPr>
      <xdr:spPr>
        <a:xfrm>
          <a:off x="1933575" y="263385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417</xdr:row>
      <xdr:rowOff>0</xdr:rowOff>
    </xdr:from>
    <xdr:ext cx="104775" cy="257175"/>
    <xdr:sp fLocksText="0">
      <xdr:nvSpPr>
        <xdr:cNvPr id="58" name="Text Box 61"/>
        <xdr:cNvSpPr txBox="1">
          <a:spLocks noChangeArrowheads="1"/>
        </xdr:cNvSpPr>
      </xdr:nvSpPr>
      <xdr:spPr>
        <a:xfrm>
          <a:off x="1933575" y="263385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418</xdr:row>
      <xdr:rowOff>0</xdr:rowOff>
    </xdr:from>
    <xdr:ext cx="104775" cy="257175"/>
    <xdr:sp fLocksText="0">
      <xdr:nvSpPr>
        <xdr:cNvPr id="59" name="Text Box 62"/>
        <xdr:cNvSpPr txBox="1">
          <a:spLocks noChangeArrowheads="1"/>
        </xdr:cNvSpPr>
      </xdr:nvSpPr>
      <xdr:spPr>
        <a:xfrm>
          <a:off x="1933575" y="263994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418</xdr:row>
      <xdr:rowOff>0</xdr:rowOff>
    </xdr:from>
    <xdr:ext cx="104775" cy="257175"/>
    <xdr:sp fLocksText="0">
      <xdr:nvSpPr>
        <xdr:cNvPr id="60" name="Text Box 63"/>
        <xdr:cNvSpPr txBox="1">
          <a:spLocks noChangeArrowheads="1"/>
        </xdr:cNvSpPr>
      </xdr:nvSpPr>
      <xdr:spPr>
        <a:xfrm>
          <a:off x="1933575" y="263994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418</xdr:row>
      <xdr:rowOff>0</xdr:rowOff>
    </xdr:from>
    <xdr:ext cx="104775" cy="257175"/>
    <xdr:sp fLocksText="0">
      <xdr:nvSpPr>
        <xdr:cNvPr id="61" name="Text Box 64"/>
        <xdr:cNvSpPr txBox="1">
          <a:spLocks noChangeArrowheads="1"/>
        </xdr:cNvSpPr>
      </xdr:nvSpPr>
      <xdr:spPr>
        <a:xfrm>
          <a:off x="1933575" y="263994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418</xdr:row>
      <xdr:rowOff>0</xdr:rowOff>
    </xdr:from>
    <xdr:ext cx="104775" cy="257175"/>
    <xdr:sp fLocksText="0">
      <xdr:nvSpPr>
        <xdr:cNvPr id="62" name="Text Box 65"/>
        <xdr:cNvSpPr txBox="1">
          <a:spLocks noChangeArrowheads="1"/>
        </xdr:cNvSpPr>
      </xdr:nvSpPr>
      <xdr:spPr>
        <a:xfrm>
          <a:off x="1933575" y="263994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419</xdr:row>
      <xdr:rowOff>0</xdr:rowOff>
    </xdr:from>
    <xdr:ext cx="104775" cy="257175"/>
    <xdr:sp fLocksText="0">
      <xdr:nvSpPr>
        <xdr:cNvPr id="63" name="Text Box 66"/>
        <xdr:cNvSpPr txBox="1">
          <a:spLocks noChangeArrowheads="1"/>
        </xdr:cNvSpPr>
      </xdr:nvSpPr>
      <xdr:spPr>
        <a:xfrm>
          <a:off x="1933575" y="26445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419</xdr:row>
      <xdr:rowOff>0</xdr:rowOff>
    </xdr:from>
    <xdr:ext cx="104775" cy="257175"/>
    <xdr:sp fLocksText="0">
      <xdr:nvSpPr>
        <xdr:cNvPr id="64" name="Text Box 67"/>
        <xdr:cNvSpPr txBox="1">
          <a:spLocks noChangeArrowheads="1"/>
        </xdr:cNvSpPr>
      </xdr:nvSpPr>
      <xdr:spPr>
        <a:xfrm>
          <a:off x="1933575" y="26445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419</xdr:row>
      <xdr:rowOff>0</xdr:rowOff>
    </xdr:from>
    <xdr:ext cx="104775" cy="257175"/>
    <xdr:sp fLocksText="0">
      <xdr:nvSpPr>
        <xdr:cNvPr id="65" name="Text Box 68"/>
        <xdr:cNvSpPr txBox="1">
          <a:spLocks noChangeArrowheads="1"/>
        </xdr:cNvSpPr>
      </xdr:nvSpPr>
      <xdr:spPr>
        <a:xfrm>
          <a:off x="1933575" y="26445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419</xdr:row>
      <xdr:rowOff>0</xdr:rowOff>
    </xdr:from>
    <xdr:ext cx="104775" cy="257175"/>
    <xdr:sp fLocksText="0">
      <xdr:nvSpPr>
        <xdr:cNvPr id="66" name="Text Box 69"/>
        <xdr:cNvSpPr txBox="1">
          <a:spLocks noChangeArrowheads="1"/>
        </xdr:cNvSpPr>
      </xdr:nvSpPr>
      <xdr:spPr>
        <a:xfrm>
          <a:off x="1933575" y="26445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413</xdr:row>
      <xdr:rowOff>0</xdr:rowOff>
    </xdr:from>
    <xdr:ext cx="104775" cy="257175"/>
    <xdr:sp fLocksText="0">
      <xdr:nvSpPr>
        <xdr:cNvPr id="67" name="Text Box 70"/>
        <xdr:cNvSpPr txBox="1">
          <a:spLocks noChangeArrowheads="1"/>
        </xdr:cNvSpPr>
      </xdr:nvSpPr>
      <xdr:spPr>
        <a:xfrm>
          <a:off x="1933575" y="2613850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413</xdr:row>
      <xdr:rowOff>0</xdr:rowOff>
    </xdr:from>
    <xdr:ext cx="104775" cy="257175"/>
    <xdr:sp fLocksText="0">
      <xdr:nvSpPr>
        <xdr:cNvPr id="68" name="Text Box 71"/>
        <xdr:cNvSpPr txBox="1">
          <a:spLocks noChangeArrowheads="1"/>
        </xdr:cNvSpPr>
      </xdr:nvSpPr>
      <xdr:spPr>
        <a:xfrm>
          <a:off x="1933575" y="2613850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413</xdr:row>
      <xdr:rowOff>0</xdr:rowOff>
    </xdr:from>
    <xdr:ext cx="104775" cy="257175"/>
    <xdr:sp fLocksText="0">
      <xdr:nvSpPr>
        <xdr:cNvPr id="69" name="Text Box 72"/>
        <xdr:cNvSpPr txBox="1">
          <a:spLocks noChangeArrowheads="1"/>
        </xdr:cNvSpPr>
      </xdr:nvSpPr>
      <xdr:spPr>
        <a:xfrm>
          <a:off x="1933575" y="2613850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413</xdr:row>
      <xdr:rowOff>0</xdr:rowOff>
    </xdr:from>
    <xdr:ext cx="104775" cy="257175"/>
    <xdr:sp fLocksText="0">
      <xdr:nvSpPr>
        <xdr:cNvPr id="70" name="Text Box 73"/>
        <xdr:cNvSpPr txBox="1">
          <a:spLocks noChangeArrowheads="1"/>
        </xdr:cNvSpPr>
      </xdr:nvSpPr>
      <xdr:spPr>
        <a:xfrm>
          <a:off x="1933575" y="2613850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413</xdr:row>
      <xdr:rowOff>0</xdr:rowOff>
    </xdr:from>
    <xdr:ext cx="104775" cy="257175"/>
    <xdr:sp fLocksText="0">
      <xdr:nvSpPr>
        <xdr:cNvPr id="71" name="Text Box 74"/>
        <xdr:cNvSpPr txBox="1">
          <a:spLocks noChangeArrowheads="1"/>
        </xdr:cNvSpPr>
      </xdr:nvSpPr>
      <xdr:spPr>
        <a:xfrm>
          <a:off x="1933575" y="2613850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413</xdr:row>
      <xdr:rowOff>0</xdr:rowOff>
    </xdr:from>
    <xdr:ext cx="104775" cy="257175"/>
    <xdr:sp fLocksText="0">
      <xdr:nvSpPr>
        <xdr:cNvPr id="72" name="Text Box 75"/>
        <xdr:cNvSpPr txBox="1">
          <a:spLocks noChangeArrowheads="1"/>
        </xdr:cNvSpPr>
      </xdr:nvSpPr>
      <xdr:spPr>
        <a:xfrm>
          <a:off x="1933575" y="2613850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413</xdr:row>
      <xdr:rowOff>0</xdr:rowOff>
    </xdr:from>
    <xdr:ext cx="104775" cy="257175"/>
    <xdr:sp fLocksText="0">
      <xdr:nvSpPr>
        <xdr:cNvPr id="73" name="Text Box 76"/>
        <xdr:cNvSpPr txBox="1">
          <a:spLocks noChangeArrowheads="1"/>
        </xdr:cNvSpPr>
      </xdr:nvSpPr>
      <xdr:spPr>
        <a:xfrm>
          <a:off x="1933575" y="2613850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413</xdr:row>
      <xdr:rowOff>0</xdr:rowOff>
    </xdr:from>
    <xdr:ext cx="104775" cy="257175"/>
    <xdr:sp fLocksText="0">
      <xdr:nvSpPr>
        <xdr:cNvPr id="74" name="Text Box 77"/>
        <xdr:cNvSpPr txBox="1">
          <a:spLocks noChangeArrowheads="1"/>
        </xdr:cNvSpPr>
      </xdr:nvSpPr>
      <xdr:spPr>
        <a:xfrm>
          <a:off x="1933575" y="2613850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75" name="Text Box 78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76" name="Text Box 79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77" name="Text Box 80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78" name="Text Box 81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79" name="Text Box 82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80" name="Text Box 83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81" name="Text Box 84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82" name="Text Box 85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83" name="Text Box 86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84" name="Text Box 87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85" name="Text Box 88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86" name="Text Box 89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87" name="Text Box 90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88" name="Text Box 91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89" name="Text Box 92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90" name="Text Box 93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429</xdr:row>
      <xdr:rowOff>0</xdr:rowOff>
    </xdr:from>
    <xdr:ext cx="400050" cy="152400"/>
    <xdr:sp fLocksText="0">
      <xdr:nvSpPr>
        <xdr:cNvPr id="91" name="Text Box 69"/>
        <xdr:cNvSpPr txBox="1">
          <a:spLocks noChangeArrowheads="1"/>
        </xdr:cNvSpPr>
      </xdr:nvSpPr>
      <xdr:spPr>
        <a:xfrm flipH="1">
          <a:off x="390525" y="269176500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92" name="Text Box 46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93" name="Text Box 47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94" name="Text Box 48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95" name="Text Box 49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96" name="Text Box 66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97" name="Text Box 67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98" name="Text Box 68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99" name="Text Box 69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100" name="Text Box 46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101" name="Text Box 47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102" name="Text Box 48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103" name="Text Box 49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104" name="Text Box 66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105" name="Text Box 67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106" name="Text Box 68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429</xdr:row>
      <xdr:rowOff>0</xdr:rowOff>
    </xdr:from>
    <xdr:ext cx="104775" cy="257175"/>
    <xdr:sp fLocksText="0">
      <xdr:nvSpPr>
        <xdr:cNvPr id="107" name="Text Box 69"/>
        <xdr:cNvSpPr txBox="1">
          <a:spLocks noChangeArrowheads="1"/>
        </xdr:cNvSpPr>
      </xdr:nvSpPr>
      <xdr:spPr>
        <a:xfrm>
          <a:off x="1933575" y="269176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571500</xdr:colOff>
      <xdr:row>761</xdr:row>
      <xdr:rowOff>0</xdr:rowOff>
    </xdr:from>
    <xdr:ext cx="104775" cy="257175"/>
    <xdr:sp fLocksText="0">
      <xdr:nvSpPr>
        <xdr:cNvPr id="108" name="Text Box 2"/>
        <xdr:cNvSpPr txBox="1">
          <a:spLocks noChangeArrowheads="1"/>
        </xdr:cNvSpPr>
      </xdr:nvSpPr>
      <xdr:spPr>
        <a:xfrm>
          <a:off x="3076575" y="498995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571500</xdr:colOff>
      <xdr:row>761</xdr:row>
      <xdr:rowOff>0</xdr:rowOff>
    </xdr:from>
    <xdr:ext cx="104775" cy="257175"/>
    <xdr:sp fLocksText="0">
      <xdr:nvSpPr>
        <xdr:cNvPr id="109" name="Text Box 3"/>
        <xdr:cNvSpPr txBox="1">
          <a:spLocks noChangeArrowheads="1"/>
        </xdr:cNvSpPr>
      </xdr:nvSpPr>
      <xdr:spPr>
        <a:xfrm>
          <a:off x="3076575" y="498995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761</xdr:row>
      <xdr:rowOff>0</xdr:rowOff>
    </xdr:from>
    <xdr:ext cx="104775" cy="257175"/>
    <xdr:sp fLocksText="0">
      <xdr:nvSpPr>
        <xdr:cNvPr id="110" name="Text Box 5"/>
        <xdr:cNvSpPr txBox="1">
          <a:spLocks noChangeArrowheads="1"/>
        </xdr:cNvSpPr>
      </xdr:nvSpPr>
      <xdr:spPr>
        <a:xfrm>
          <a:off x="1933575" y="498995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761</xdr:row>
      <xdr:rowOff>0</xdr:rowOff>
    </xdr:from>
    <xdr:ext cx="104775" cy="257175"/>
    <xdr:sp fLocksText="0">
      <xdr:nvSpPr>
        <xdr:cNvPr id="111" name="Text Box 6"/>
        <xdr:cNvSpPr txBox="1">
          <a:spLocks noChangeArrowheads="1"/>
        </xdr:cNvSpPr>
      </xdr:nvSpPr>
      <xdr:spPr>
        <a:xfrm>
          <a:off x="1933575" y="498995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571500</xdr:colOff>
      <xdr:row>761</xdr:row>
      <xdr:rowOff>0</xdr:rowOff>
    </xdr:from>
    <xdr:ext cx="104775" cy="257175"/>
    <xdr:sp fLocksText="0">
      <xdr:nvSpPr>
        <xdr:cNvPr id="112" name="Text Box 2"/>
        <xdr:cNvSpPr txBox="1">
          <a:spLocks noChangeArrowheads="1"/>
        </xdr:cNvSpPr>
      </xdr:nvSpPr>
      <xdr:spPr>
        <a:xfrm>
          <a:off x="3076575" y="498995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571500</xdr:colOff>
      <xdr:row>761</xdr:row>
      <xdr:rowOff>0</xdr:rowOff>
    </xdr:from>
    <xdr:ext cx="104775" cy="257175"/>
    <xdr:sp fLocksText="0">
      <xdr:nvSpPr>
        <xdr:cNvPr id="113" name="Text Box 3"/>
        <xdr:cNvSpPr txBox="1">
          <a:spLocks noChangeArrowheads="1"/>
        </xdr:cNvSpPr>
      </xdr:nvSpPr>
      <xdr:spPr>
        <a:xfrm>
          <a:off x="3076575" y="498995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761</xdr:row>
      <xdr:rowOff>0</xdr:rowOff>
    </xdr:from>
    <xdr:ext cx="104775" cy="257175"/>
    <xdr:sp fLocksText="0">
      <xdr:nvSpPr>
        <xdr:cNvPr id="114" name="Text Box 5"/>
        <xdr:cNvSpPr txBox="1">
          <a:spLocks noChangeArrowheads="1"/>
        </xdr:cNvSpPr>
      </xdr:nvSpPr>
      <xdr:spPr>
        <a:xfrm>
          <a:off x="1933575" y="498995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761</xdr:row>
      <xdr:rowOff>0</xdr:rowOff>
    </xdr:from>
    <xdr:ext cx="104775" cy="257175"/>
    <xdr:sp fLocksText="0">
      <xdr:nvSpPr>
        <xdr:cNvPr id="115" name="Text Box 6"/>
        <xdr:cNvSpPr txBox="1">
          <a:spLocks noChangeArrowheads="1"/>
        </xdr:cNvSpPr>
      </xdr:nvSpPr>
      <xdr:spPr>
        <a:xfrm>
          <a:off x="1933575" y="498995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571500</xdr:colOff>
      <xdr:row>525</xdr:row>
      <xdr:rowOff>0</xdr:rowOff>
    </xdr:from>
    <xdr:ext cx="104775" cy="257175"/>
    <xdr:sp fLocksText="0">
      <xdr:nvSpPr>
        <xdr:cNvPr id="116" name="Text Box 12"/>
        <xdr:cNvSpPr txBox="1">
          <a:spLocks noChangeArrowheads="1"/>
        </xdr:cNvSpPr>
      </xdr:nvSpPr>
      <xdr:spPr>
        <a:xfrm>
          <a:off x="3076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525</xdr:row>
      <xdr:rowOff>0</xdr:rowOff>
    </xdr:from>
    <xdr:ext cx="104775" cy="257175"/>
    <xdr:sp fLocksText="0">
      <xdr:nvSpPr>
        <xdr:cNvPr id="117" name="Text Box 13"/>
        <xdr:cNvSpPr txBox="1">
          <a:spLocks noChangeArrowheads="1"/>
        </xdr:cNvSpPr>
      </xdr:nvSpPr>
      <xdr:spPr>
        <a:xfrm>
          <a:off x="1933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571500</xdr:colOff>
      <xdr:row>525</xdr:row>
      <xdr:rowOff>0</xdr:rowOff>
    </xdr:from>
    <xdr:ext cx="104775" cy="257175"/>
    <xdr:sp fLocksText="0">
      <xdr:nvSpPr>
        <xdr:cNvPr id="118" name="Text Box 14"/>
        <xdr:cNvSpPr txBox="1">
          <a:spLocks noChangeArrowheads="1"/>
        </xdr:cNvSpPr>
      </xdr:nvSpPr>
      <xdr:spPr>
        <a:xfrm>
          <a:off x="3076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525</xdr:row>
      <xdr:rowOff>0</xdr:rowOff>
    </xdr:from>
    <xdr:ext cx="104775" cy="257175"/>
    <xdr:sp fLocksText="0">
      <xdr:nvSpPr>
        <xdr:cNvPr id="119" name="Text Box 15"/>
        <xdr:cNvSpPr txBox="1">
          <a:spLocks noChangeArrowheads="1"/>
        </xdr:cNvSpPr>
      </xdr:nvSpPr>
      <xdr:spPr>
        <a:xfrm>
          <a:off x="1933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525</xdr:row>
      <xdr:rowOff>0</xdr:rowOff>
    </xdr:from>
    <xdr:ext cx="104775" cy="257175"/>
    <xdr:sp fLocksText="0">
      <xdr:nvSpPr>
        <xdr:cNvPr id="120" name="Text Box 18"/>
        <xdr:cNvSpPr txBox="1">
          <a:spLocks noChangeArrowheads="1"/>
        </xdr:cNvSpPr>
      </xdr:nvSpPr>
      <xdr:spPr>
        <a:xfrm>
          <a:off x="1933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525</xdr:row>
      <xdr:rowOff>0</xdr:rowOff>
    </xdr:from>
    <xdr:ext cx="104775" cy="257175"/>
    <xdr:sp fLocksText="0">
      <xdr:nvSpPr>
        <xdr:cNvPr id="121" name="Text Box 19"/>
        <xdr:cNvSpPr txBox="1">
          <a:spLocks noChangeArrowheads="1"/>
        </xdr:cNvSpPr>
      </xdr:nvSpPr>
      <xdr:spPr>
        <a:xfrm>
          <a:off x="1933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525</xdr:row>
      <xdr:rowOff>0</xdr:rowOff>
    </xdr:from>
    <xdr:ext cx="104775" cy="257175"/>
    <xdr:sp fLocksText="0">
      <xdr:nvSpPr>
        <xdr:cNvPr id="122" name="Text Box 24"/>
        <xdr:cNvSpPr txBox="1">
          <a:spLocks noChangeArrowheads="1"/>
        </xdr:cNvSpPr>
      </xdr:nvSpPr>
      <xdr:spPr>
        <a:xfrm>
          <a:off x="1933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525</xdr:row>
      <xdr:rowOff>0</xdr:rowOff>
    </xdr:from>
    <xdr:ext cx="104775" cy="257175"/>
    <xdr:sp fLocksText="0">
      <xdr:nvSpPr>
        <xdr:cNvPr id="123" name="Text Box 25"/>
        <xdr:cNvSpPr txBox="1">
          <a:spLocks noChangeArrowheads="1"/>
        </xdr:cNvSpPr>
      </xdr:nvSpPr>
      <xdr:spPr>
        <a:xfrm>
          <a:off x="1933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571500</xdr:colOff>
      <xdr:row>525</xdr:row>
      <xdr:rowOff>0</xdr:rowOff>
    </xdr:from>
    <xdr:ext cx="104775" cy="257175"/>
    <xdr:sp fLocksText="0">
      <xdr:nvSpPr>
        <xdr:cNvPr id="124" name="Text Box 12"/>
        <xdr:cNvSpPr txBox="1">
          <a:spLocks noChangeArrowheads="1"/>
        </xdr:cNvSpPr>
      </xdr:nvSpPr>
      <xdr:spPr>
        <a:xfrm>
          <a:off x="3076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525</xdr:row>
      <xdr:rowOff>0</xdr:rowOff>
    </xdr:from>
    <xdr:ext cx="104775" cy="257175"/>
    <xdr:sp fLocksText="0">
      <xdr:nvSpPr>
        <xdr:cNvPr id="125" name="Text Box 13"/>
        <xdr:cNvSpPr txBox="1">
          <a:spLocks noChangeArrowheads="1"/>
        </xdr:cNvSpPr>
      </xdr:nvSpPr>
      <xdr:spPr>
        <a:xfrm>
          <a:off x="1933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2286000</xdr:colOff>
      <xdr:row>525</xdr:row>
      <xdr:rowOff>0</xdr:rowOff>
    </xdr:from>
    <xdr:ext cx="104775" cy="257175"/>
    <xdr:sp fLocksText="0">
      <xdr:nvSpPr>
        <xdr:cNvPr id="126" name="Text Box 14"/>
        <xdr:cNvSpPr txBox="1">
          <a:spLocks noChangeArrowheads="1"/>
        </xdr:cNvSpPr>
      </xdr:nvSpPr>
      <xdr:spPr>
        <a:xfrm>
          <a:off x="6286500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525</xdr:row>
      <xdr:rowOff>0</xdr:rowOff>
    </xdr:from>
    <xdr:ext cx="104775" cy="257175"/>
    <xdr:sp fLocksText="0">
      <xdr:nvSpPr>
        <xdr:cNvPr id="127" name="Text Box 15"/>
        <xdr:cNvSpPr txBox="1">
          <a:spLocks noChangeArrowheads="1"/>
        </xdr:cNvSpPr>
      </xdr:nvSpPr>
      <xdr:spPr>
        <a:xfrm>
          <a:off x="1933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525</xdr:row>
      <xdr:rowOff>0</xdr:rowOff>
    </xdr:from>
    <xdr:ext cx="104775" cy="257175"/>
    <xdr:sp fLocksText="0">
      <xdr:nvSpPr>
        <xdr:cNvPr id="128" name="Text Box 18"/>
        <xdr:cNvSpPr txBox="1">
          <a:spLocks noChangeArrowheads="1"/>
        </xdr:cNvSpPr>
      </xdr:nvSpPr>
      <xdr:spPr>
        <a:xfrm>
          <a:off x="1933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525</xdr:row>
      <xdr:rowOff>0</xdr:rowOff>
    </xdr:from>
    <xdr:ext cx="104775" cy="257175"/>
    <xdr:sp fLocksText="0">
      <xdr:nvSpPr>
        <xdr:cNvPr id="129" name="Text Box 19"/>
        <xdr:cNvSpPr txBox="1">
          <a:spLocks noChangeArrowheads="1"/>
        </xdr:cNvSpPr>
      </xdr:nvSpPr>
      <xdr:spPr>
        <a:xfrm>
          <a:off x="1933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525</xdr:row>
      <xdr:rowOff>0</xdr:rowOff>
    </xdr:from>
    <xdr:ext cx="104775" cy="257175"/>
    <xdr:sp fLocksText="0">
      <xdr:nvSpPr>
        <xdr:cNvPr id="130" name="Text Box 24"/>
        <xdr:cNvSpPr txBox="1">
          <a:spLocks noChangeArrowheads="1"/>
        </xdr:cNvSpPr>
      </xdr:nvSpPr>
      <xdr:spPr>
        <a:xfrm>
          <a:off x="1933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525</xdr:row>
      <xdr:rowOff>0</xdr:rowOff>
    </xdr:from>
    <xdr:ext cx="104775" cy="257175"/>
    <xdr:sp fLocksText="0">
      <xdr:nvSpPr>
        <xdr:cNvPr id="131" name="Text Box 25"/>
        <xdr:cNvSpPr txBox="1">
          <a:spLocks noChangeArrowheads="1"/>
        </xdr:cNvSpPr>
      </xdr:nvSpPr>
      <xdr:spPr>
        <a:xfrm>
          <a:off x="1933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571500</xdr:colOff>
      <xdr:row>525</xdr:row>
      <xdr:rowOff>0</xdr:rowOff>
    </xdr:from>
    <xdr:ext cx="104775" cy="257175"/>
    <xdr:sp fLocksText="0">
      <xdr:nvSpPr>
        <xdr:cNvPr id="132" name="Text Box 12"/>
        <xdr:cNvSpPr txBox="1">
          <a:spLocks noChangeArrowheads="1"/>
        </xdr:cNvSpPr>
      </xdr:nvSpPr>
      <xdr:spPr>
        <a:xfrm>
          <a:off x="3076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525</xdr:row>
      <xdr:rowOff>0</xdr:rowOff>
    </xdr:from>
    <xdr:ext cx="104775" cy="257175"/>
    <xdr:sp fLocksText="0">
      <xdr:nvSpPr>
        <xdr:cNvPr id="133" name="Text Box 13"/>
        <xdr:cNvSpPr txBox="1">
          <a:spLocks noChangeArrowheads="1"/>
        </xdr:cNvSpPr>
      </xdr:nvSpPr>
      <xdr:spPr>
        <a:xfrm>
          <a:off x="1933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571500</xdr:colOff>
      <xdr:row>525</xdr:row>
      <xdr:rowOff>0</xdr:rowOff>
    </xdr:from>
    <xdr:ext cx="104775" cy="257175"/>
    <xdr:sp fLocksText="0">
      <xdr:nvSpPr>
        <xdr:cNvPr id="134" name="Text Box 14"/>
        <xdr:cNvSpPr txBox="1">
          <a:spLocks noChangeArrowheads="1"/>
        </xdr:cNvSpPr>
      </xdr:nvSpPr>
      <xdr:spPr>
        <a:xfrm>
          <a:off x="3076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525</xdr:row>
      <xdr:rowOff>0</xdr:rowOff>
    </xdr:from>
    <xdr:ext cx="104775" cy="257175"/>
    <xdr:sp fLocksText="0">
      <xdr:nvSpPr>
        <xdr:cNvPr id="135" name="Text Box 15"/>
        <xdr:cNvSpPr txBox="1">
          <a:spLocks noChangeArrowheads="1"/>
        </xdr:cNvSpPr>
      </xdr:nvSpPr>
      <xdr:spPr>
        <a:xfrm>
          <a:off x="1933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525</xdr:row>
      <xdr:rowOff>0</xdr:rowOff>
    </xdr:from>
    <xdr:ext cx="104775" cy="257175"/>
    <xdr:sp fLocksText="0">
      <xdr:nvSpPr>
        <xdr:cNvPr id="136" name="Text Box 18"/>
        <xdr:cNvSpPr txBox="1">
          <a:spLocks noChangeArrowheads="1"/>
        </xdr:cNvSpPr>
      </xdr:nvSpPr>
      <xdr:spPr>
        <a:xfrm>
          <a:off x="1933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525</xdr:row>
      <xdr:rowOff>0</xdr:rowOff>
    </xdr:from>
    <xdr:ext cx="104775" cy="257175"/>
    <xdr:sp fLocksText="0">
      <xdr:nvSpPr>
        <xdr:cNvPr id="137" name="Text Box 19"/>
        <xdr:cNvSpPr txBox="1">
          <a:spLocks noChangeArrowheads="1"/>
        </xdr:cNvSpPr>
      </xdr:nvSpPr>
      <xdr:spPr>
        <a:xfrm>
          <a:off x="1933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525</xdr:row>
      <xdr:rowOff>0</xdr:rowOff>
    </xdr:from>
    <xdr:ext cx="104775" cy="257175"/>
    <xdr:sp fLocksText="0">
      <xdr:nvSpPr>
        <xdr:cNvPr id="138" name="Text Box 24"/>
        <xdr:cNvSpPr txBox="1">
          <a:spLocks noChangeArrowheads="1"/>
        </xdr:cNvSpPr>
      </xdr:nvSpPr>
      <xdr:spPr>
        <a:xfrm>
          <a:off x="1933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525</xdr:row>
      <xdr:rowOff>0</xdr:rowOff>
    </xdr:from>
    <xdr:ext cx="104775" cy="257175"/>
    <xdr:sp fLocksText="0">
      <xdr:nvSpPr>
        <xdr:cNvPr id="139" name="Text Box 25"/>
        <xdr:cNvSpPr txBox="1">
          <a:spLocks noChangeArrowheads="1"/>
        </xdr:cNvSpPr>
      </xdr:nvSpPr>
      <xdr:spPr>
        <a:xfrm>
          <a:off x="1933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571500</xdr:colOff>
      <xdr:row>525</xdr:row>
      <xdr:rowOff>0</xdr:rowOff>
    </xdr:from>
    <xdr:ext cx="104775" cy="257175"/>
    <xdr:sp fLocksText="0">
      <xdr:nvSpPr>
        <xdr:cNvPr id="140" name="Text Box 12"/>
        <xdr:cNvSpPr txBox="1">
          <a:spLocks noChangeArrowheads="1"/>
        </xdr:cNvSpPr>
      </xdr:nvSpPr>
      <xdr:spPr>
        <a:xfrm>
          <a:off x="3076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525</xdr:row>
      <xdr:rowOff>0</xdr:rowOff>
    </xdr:from>
    <xdr:ext cx="104775" cy="257175"/>
    <xdr:sp fLocksText="0">
      <xdr:nvSpPr>
        <xdr:cNvPr id="141" name="Text Box 13"/>
        <xdr:cNvSpPr txBox="1">
          <a:spLocks noChangeArrowheads="1"/>
        </xdr:cNvSpPr>
      </xdr:nvSpPr>
      <xdr:spPr>
        <a:xfrm>
          <a:off x="1933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2286000</xdr:colOff>
      <xdr:row>525</xdr:row>
      <xdr:rowOff>0</xdr:rowOff>
    </xdr:from>
    <xdr:ext cx="104775" cy="257175"/>
    <xdr:sp fLocksText="0">
      <xdr:nvSpPr>
        <xdr:cNvPr id="142" name="Text Box 14"/>
        <xdr:cNvSpPr txBox="1">
          <a:spLocks noChangeArrowheads="1"/>
        </xdr:cNvSpPr>
      </xdr:nvSpPr>
      <xdr:spPr>
        <a:xfrm>
          <a:off x="6286500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525</xdr:row>
      <xdr:rowOff>0</xdr:rowOff>
    </xdr:from>
    <xdr:ext cx="104775" cy="257175"/>
    <xdr:sp fLocksText="0">
      <xdr:nvSpPr>
        <xdr:cNvPr id="143" name="Text Box 15"/>
        <xdr:cNvSpPr txBox="1">
          <a:spLocks noChangeArrowheads="1"/>
        </xdr:cNvSpPr>
      </xdr:nvSpPr>
      <xdr:spPr>
        <a:xfrm>
          <a:off x="1933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525</xdr:row>
      <xdr:rowOff>0</xdr:rowOff>
    </xdr:from>
    <xdr:ext cx="104775" cy="257175"/>
    <xdr:sp fLocksText="0">
      <xdr:nvSpPr>
        <xdr:cNvPr id="144" name="Text Box 18"/>
        <xdr:cNvSpPr txBox="1">
          <a:spLocks noChangeArrowheads="1"/>
        </xdr:cNvSpPr>
      </xdr:nvSpPr>
      <xdr:spPr>
        <a:xfrm>
          <a:off x="1933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525</xdr:row>
      <xdr:rowOff>0</xdr:rowOff>
    </xdr:from>
    <xdr:ext cx="104775" cy="257175"/>
    <xdr:sp fLocksText="0">
      <xdr:nvSpPr>
        <xdr:cNvPr id="145" name="Text Box 19"/>
        <xdr:cNvSpPr txBox="1">
          <a:spLocks noChangeArrowheads="1"/>
        </xdr:cNvSpPr>
      </xdr:nvSpPr>
      <xdr:spPr>
        <a:xfrm>
          <a:off x="1933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525</xdr:row>
      <xdr:rowOff>0</xdr:rowOff>
    </xdr:from>
    <xdr:ext cx="104775" cy="257175"/>
    <xdr:sp fLocksText="0">
      <xdr:nvSpPr>
        <xdr:cNvPr id="146" name="Text Box 24"/>
        <xdr:cNvSpPr txBox="1">
          <a:spLocks noChangeArrowheads="1"/>
        </xdr:cNvSpPr>
      </xdr:nvSpPr>
      <xdr:spPr>
        <a:xfrm>
          <a:off x="1933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525</xdr:row>
      <xdr:rowOff>0</xdr:rowOff>
    </xdr:from>
    <xdr:ext cx="104775" cy="257175"/>
    <xdr:sp fLocksText="0">
      <xdr:nvSpPr>
        <xdr:cNvPr id="147" name="Text Box 25"/>
        <xdr:cNvSpPr txBox="1">
          <a:spLocks noChangeArrowheads="1"/>
        </xdr:cNvSpPr>
      </xdr:nvSpPr>
      <xdr:spPr>
        <a:xfrm>
          <a:off x="1933575" y="329679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411</xdr:row>
      <xdr:rowOff>0</xdr:rowOff>
    </xdr:from>
    <xdr:ext cx="104775" cy="257175"/>
    <xdr:sp fLocksText="0">
      <xdr:nvSpPr>
        <xdr:cNvPr id="148" name="Text Box 20"/>
        <xdr:cNvSpPr txBox="1">
          <a:spLocks noChangeArrowheads="1"/>
        </xdr:cNvSpPr>
      </xdr:nvSpPr>
      <xdr:spPr>
        <a:xfrm>
          <a:off x="1933575" y="260470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411</xdr:row>
      <xdr:rowOff>0</xdr:rowOff>
    </xdr:from>
    <xdr:ext cx="104775" cy="257175"/>
    <xdr:sp fLocksText="0">
      <xdr:nvSpPr>
        <xdr:cNvPr id="149" name="Text Box 21"/>
        <xdr:cNvSpPr txBox="1">
          <a:spLocks noChangeArrowheads="1"/>
        </xdr:cNvSpPr>
      </xdr:nvSpPr>
      <xdr:spPr>
        <a:xfrm>
          <a:off x="1933575" y="260470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411</xdr:row>
      <xdr:rowOff>0</xdr:rowOff>
    </xdr:from>
    <xdr:ext cx="104775" cy="257175"/>
    <xdr:sp fLocksText="0">
      <xdr:nvSpPr>
        <xdr:cNvPr id="150" name="Text Box 26"/>
        <xdr:cNvSpPr txBox="1">
          <a:spLocks noChangeArrowheads="1"/>
        </xdr:cNvSpPr>
      </xdr:nvSpPr>
      <xdr:spPr>
        <a:xfrm>
          <a:off x="1933575" y="260470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411</xdr:row>
      <xdr:rowOff>0</xdr:rowOff>
    </xdr:from>
    <xdr:ext cx="104775" cy="257175"/>
    <xdr:sp fLocksText="0">
      <xdr:nvSpPr>
        <xdr:cNvPr id="151" name="Text Box 27"/>
        <xdr:cNvSpPr txBox="1">
          <a:spLocks noChangeArrowheads="1"/>
        </xdr:cNvSpPr>
      </xdr:nvSpPr>
      <xdr:spPr>
        <a:xfrm>
          <a:off x="1933575" y="260470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412</xdr:row>
      <xdr:rowOff>0</xdr:rowOff>
    </xdr:from>
    <xdr:ext cx="104775" cy="257175"/>
    <xdr:sp fLocksText="0">
      <xdr:nvSpPr>
        <xdr:cNvPr id="152" name="Text Box 20"/>
        <xdr:cNvSpPr txBox="1">
          <a:spLocks noChangeArrowheads="1"/>
        </xdr:cNvSpPr>
      </xdr:nvSpPr>
      <xdr:spPr>
        <a:xfrm>
          <a:off x="1933575" y="2609278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412</xdr:row>
      <xdr:rowOff>0</xdr:rowOff>
    </xdr:from>
    <xdr:ext cx="104775" cy="257175"/>
    <xdr:sp fLocksText="0">
      <xdr:nvSpPr>
        <xdr:cNvPr id="153" name="Text Box 21"/>
        <xdr:cNvSpPr txBox="1">
          <a:spLocks noChangeArrowheads="1"/>
        </xdr:cNvSpPr>
      </xdr:nvSpPr>
      <xdr:spPr>
        <a:xfrm>
          <a:off x="1933575" y="2609278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412</xdr:row>
      <xdr:rowOff>0</xdr:rowOff>
    </xdr:from>
    <xdr:ext cx="104775" cy="257175"/>
    <xdr:sp fLocksText="0">
      <xdr:nvSpPr>
        <xdr:cNvPr id="154" name="Text Box 26"/>
        <xdr:cNvSpPr txBox="1">
          <a:spLocks noChangeArrowheads="1"/>
        </xdr:cNvSpPr>
      </xdr:nvSpPr>
      <xdr:spPr>
        <a:xfrm>
          <a:off x="1933575" y="2609278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412</xdr:row>
      <xdr:rowOff>0</xdr:rowOff>
    </xdr:from>
    <xdr:ext cx="104775" cy="257175"/>
    <xdr:sp fLocksText="0">
      <xdr:nvSpPr>
        <xdr:cNvPr id="155" name="Text Box 27"/>
        <xdr:cNvSpPr txBox="1">
          <a:spLocks noChangeArrowheads="1"/>
        </xdr:cNvSpPr>
      </xdr:nvSpPr>
      <xdr:spPr>
        <a:xfrm>
          <a:off x="1933575" y="2609278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411</xdr:row>
      <xdr:rowOff>0</xdr:rowOff>
    </xdr:from>
    <xdr:ext cx="104775" cy="257175"/>
    <xdr:sp fLocksText="0">
      <xdr:nvSpPr>
        <xdr:cNvPr id="156" name="Text Box 20"/>
        <xdr:cNvSpPr txBox="1">
          <a:spLocks noChangeArrowheads="1"/>
        </xdr:cNvSpPr>
      </xdr:nvSpPr>
      <xdr:spPr>
        <a:xfrm>
          <a:off x="1933575" y="260470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411</xdr:row>
      <xdr:rowOff>0</xdr:rowOff>
    </xdr:from>
    <xdr:ext cx="104775" cy="257175"/>
    <xdr:sp fLocksText="0">
      <xdr:nvSpPr>
        <xdr:cNvPr id="157" name="Text Box 21"/>
        <xdr:cNvSpPr txBox="1">
          <a:spLocks noChangeArrowheads="1"/>
        </xdr:cNvSpPr>
      </xdr:nvSpPr>
      <xdr:spPr>
        <a:xfrm>
          <a:off x="1933575" y="260470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411</xdr:row>
      <xdr:rowOff>0</xdr:rowOff>
    </xdr:from>
    <xdr:ext cx="104775" cy="257175"/>
    <xdr:sp fLocksText="0">
      <xdr:nvSpPr>
        <xdr:cNvPr id="158" name="Text Box 26"/>
        <xdr:cNvSpPr txBox="1">
          <a:spLocks noChangeArrowheads="1"/>
        </xdr:cNvSpPr>
      </xdr:nvSpPr>
      <xdr:spPr>
        <a:xfrm>
          <a:off x="1933575" y="260470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411</xdr:row>
      <xdr:rowOff>0</xdr:rowOff>
    </xdr:from>
    <xdr:ext cx="104775" cy="257175"/>
    <xdr:sp fLocksText="0">
      <xdr:nvSpPr>
        <xdr:cNvPr id="159" name="Text Box 27"/>
        <xdr:cNvSpPr txBox="1">
          <a:spLocks noChangeArrowheads="1"/>
        </xdr:cNvSpPr>
      </xdr:nvSpPr>
      <xdr:spPr>
        <a:xfrm>
          <a:off x="1933575" y="260470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412</xdr:row>
      <xdr:rowOff>0</xdr:rowOff>
    </xdr:from>
    <xdr:ext cx="104775" cy="257175"/>
    <xdr:sp fLocksText="0">
      <xdr:nvSpPr>
        <xdr:cNvPr id="160" name="Text Box 20"/>
        <xdr:cNvSpPr txBox="1">
          <a:spLocks noChangeArrowheads="1"/>
        </xdr:cNvSpPr>
      </xdr:nvSpPr>
      <xdr:spPr>
        <a:xfrm>
          <a:off x="1933575" y="2609278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412</xdr:row>
      <xdr:rowOff>0</xdr:rowOff>
    </xdr:from>
    <xdr:ext cx="104775" cy="257175"/>
    <xdr:sp fLocksText="0">
      <xdr:nvSpPr>
        <xdr:cNvPr id="161" name="Text Box 21"/>
        <xdr:cNvSpPr txBox="1">
          <a:spLocks noChangeArrowheads="1"/>
        </xdr:cNvSpPr>
      </xdr:nvSpPr>
      <xdr:spPr>
        <a:xfrm>
          <a:off x="1933575" y="2609278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412</xdr:row>
      <xdr:rowOff>0</xdr:rowOff>
    </xdr:from>
    <xdr:ext cx="104775" cy="257175"/>
    <xdr:sp fLocksText="0">
      <xdr:nvSpPr>
        <xdr:cNvPr id="162" name="Text Box 26"/>
        <xdr:cNvSpPr txBox="1">
          <a:spLocks noChangeArrowheads="1"/>
        </xdr:cNvSpPr>
      </xdr:nvSpPr>
      <xdr:spPr>
        <a:xfrm>
          <a:off x="1933575" y="2609278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412</xdr:row>
      <xdr:rowOff>0</xdr:rowOff>
    </xdr:from>
    <xdr:ext cx="104775" cy="257175"/>
    <xdr:sp fLocksText="0">
      <xdr:nvSpPr>
        <xdr:cNvPr id="163" name="Text Box 27"/>
        <xdr:cNvSpPr txBox="1">
          <a:spLocks noChangeArrowheads="1"/>
        </xdr:cNvSpPr>
      </xdr:nvSpPr>
      <xdr:spPr>
        <a:xfrm>
          <a:off x="1933575" y="2609278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426</xdr:row>
      <xdr:rowOff>190500</xdr:rowOff>
    </xdr:from>
    <xdr:ext cx="504825" cy="276225"/>
    <xdr:sp fLocksText="0">
      <xdr:nvSpPr>
        <xdr:cNvPr id="164" name="Text Box 69"/>
        <xdr:cNvSpPr txBox="1">
          <a:spLocks noChangeArrowheads="1"/>
        </xdr:cNvSpPr>
      </xdr:nvSpPr>
      <xdr:spPr>
        <a:xfrm>
          <a:off x="466725" y="267995400"/>
          <a:ext cx="504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426</xdr:row>
      <xdr:rowOff>0</xdr:rowOff>
    </xdr:from>
    <xdr:ext cx="104775" cy="257175"/>
    <xdr:sp fLocksText="0">
      <xdr:nvSpPr>
        <xdr:cNvPr id="165" name="Text Box 46"/>
        <xdr:cNvSpPr txBox="1">
          <a:spLocks noChangeArrowheads="1"/>
        </xdr:cNvSpPr>
      </xdr:nvSpPr>
      <xdr:spPr>
        <a:xfrm>
          <a:off x="1933575" y="267804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426</xdr:row>
      <xdr:rowOff>0</xdr:rowOff>
    </xdr:from>
    <xdr:ext cx="104775" cy="257175"/>
    <xdr:sp fLocksText="0">
      <xdr:nvSpPr>
        <xdr:cNvPr id="166" name="Text Box 47"/>
        <xdr:cNvSpPr txBox="1">
          <a:spLocks noChangeArrowheads="1"/>
        </xdr:cNvSpPr>
      </xdr:nvSpPr>
      <xdr:spPr>
        <a:xfrm>
          <a:off x="1933575" y="267804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426</xdr:row>
      <xdr:rowOff>0</xdr:rowOff>
    </xdr:from>
    <xdr:ext cx="104775" cy="257175"/>
    <xdr:sp fLocksText="0">
      <xdr:nvSpPr>
        <xdr:cNvPr id="167" name="Text Box 48"/>
        <xdr:cNvSpPr txBox="1">
          <a:spLocks noChangeArrowheads="1"/>
        </xdr:cNvSpPr>
      </xdr:nvSpPr>
      <xdr:spPr>
        <a:xfrm>
          <a:off x="1933575" y="267804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426</xdr:row>
      <xdr:rowOff>0</xdr:rowOff>
    </xdr:from>
    <xdr:ext cx="104775" cy="257175"/>
    <xdr:sp fLocksText="0">
      <xdr:nvSpPr>
        <xdr:cNvPr id="168" name="Text Box 49"/>
        <xdr:cNvSpPr txBox="1">
          <a:spLocks noChangeArrowheads="1"/>
        </xdr:cNvSpPr>
      </xdr:nvSpPr>
      <xdr:spPr>
        <a:xfrm>
          <a:off x="1933575" y="267804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426</xdr:row>
      <xdr:rowOff>0</xdr:rowOff>
    </xdr:from>
    <xdr:ext cx="104775" cy="257175"/>
    <xdr:sp fLocksText="0">
      <xdr:nvSpPr>
        <xdr:cNvPr id="169" name="Text Box 66"/>
        <xdr:cNvSpPr txBox="1">
          <a:spLocks noChangeArrowheads="1"/>
        </xdr:cNvSpPr>
      </xdr:nvSpPr>
      <xdr:spPr>
        <a:xfrm>
          <a:off x="1933575" y="267804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426</xdr:row>
      <xdr:rowOff>0</xdr:rowOff>
    </xdr:from>
    <xdr:ext cx="104775" cy="257175"/>
    <xdr:sp fLocksText="0">
      <xdr:nvSpPr>
        <xdr:cNvPr id="170" name="Text Box 67"/>
        <xdr:cNvSpPr txBox="1">
          <a:spLocks noChangeArrowheads="1"/>
        </xdr:cNvSpPr>
      </xdr:nvSpPr>
      <xdr:spPr>
        <a:xfrm>
          <a:off x="1933575" y="267804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426</xdr:row>
      <xdr:rowOff>0</xdr:rowOff>
    </xdr:from>
    <xdr:ext cx="104775" cy="257175"/>
    <xdr:sp fLocksText="0">
      <xdr:nvSpPr>
        <xdr:cNvPr id="171" name="Text Box 68"/>
        <xdr:cNvSpPr txBox="1">
          <a:spLocks noChangeArrowheads="1"/>
        </xdr:cNvSpPr>
      </xdr:nvSpPr>
      <xdr:spPr>
        <a:xfrm>
          <a:off x="1933575" y="267804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426</xdr:row>
      <xdr:rowOff>0</xdr:rowOff>
    </xdr:from>
    <xdr:ext cx="104775" cy="257175"/>
    <xdr:sp fLocksText="0">
      <xdr:nvSpPr>
        <xdr:cNvPr id="172" name="Text Box 69"/>
        <xdr:cNvSpPr txBox="1">
          <a:spLocks noChangeArrowheads="1"/>
        </xdr:cNvSpPr>
      </xdr:nvSpPr>
      <xdr:spPr>
        <a:xfrm>
          <a:off x="1933575" y="267804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426</xdr:row>
      <xdr:rowOff>0</xdr:rowOff>
    </xdr:from>
    <xdr:ext cx="104775" cy="257175"/>
    <xdr:sp fLocksText="0">
      <xdr:nvSpPr>
        <xdr:cNvPr id="173" name="Text Box 46"/>
        <xdr:cNvSpPr txBox="1">
          <a:spLocks noChangeArrowheads="1"/>
        </xdr:cNvSpPr>
      </xdr:nvSpPr>
      <xdr:spPr>
        <a:xfrm>
          <a:off x="1933575" y="267804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426</xdr:row>
      <xdr:rowOff>0</xdr:rowOff>
    </xdr:from>
    <xdr:ext cx="104775" cy="257175"/>
    <xdr:sp fLocksText="0">
      <xdr:nvSpPr>
        <xdr:cNvPr id="174" name="Text Box 47"/>
        <xdr:cNvSpPr txBox="1">
          <a:spLocks noChangeArrowheads="1"/>
        </xdr:cNvSpPr>
      </xdr:nvSpPr>
      <xdr:spPr>
        <a:xfrm>
          <a:off x="1933575" y="267804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426</xdr:row>
      <xdr:rowOff>0</xdr:rowOff>
    </xdr:from>
    <xdr:ext cx="104775" cy="257175"/>
    <xdr:sp fLocksText="0">
      <xdr:nvSpPr>
        <xdr:cNvPr id="175" name="Text Box 48"/>
        <xdr:cNvSpPr txBox="1">
          <a:spLocks noChangeArrowheads="1"/>
        </xdr:cNvSpPr>
      </xdr:nvSpPr>
      <xdr:spPr>
        <a:xfrm>
          <a:off x="1933575" y="267804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426</xdr:row>
      <xdr:rowOff>0</xdr:rowOff>
    </xdr:from>
    <xdr:ext cx="104775" cy="257175"/>
    <xdr:sp fLocksText="0">
      <xdr:nvSpPr>
        <xdr:cNvPr id="176" name="Text Box 49"/>
        <xdr:cNvSpPr txBox="1">
          <a:spLocks noChangeArrowheads="1"/>
        </xdr:cNvSpPr>
      </xdr:nvSpPr>
      <xdr:spPr>
        <a:xfrm>
          <a:off x="1933575" y="267804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426</xdr:row>
      <xdr:rowOff>0</xdr:rowOff>
    </xdr:from>
    <xdr:ext cx="104775" cy="257175"/>
    <xdr:sp fLocksText="0">
      <xdr:nvSpPr>
        <xdr:cNvPr id="177" name="Text Box 66"/>
        <xdr:cNvSpPr txBox="1">
          <a:spLocks noChangeArrowheads="1"/>
        </xdr:cNvSpPr>
      </xdr:nvSpPr>
      <xdr:spPr>
        <a:xfrm>
          <a:off x="1933575" y="267804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426</xdr:row>
      <xdr:rowOff>0</xdr:rowOff>
    </xdr:from>
    <xdr:ext cx="104775" cy="257175"/>
    <xdr:sp fLocksText="0">
      <xdr:nvSpPr>
        <xdr:cNvPr id="178" name="Text Box 67"/>
        <xdr:cNvSpPr txBox="1">
          <a:spLocks noChangeArrowheads="1"/>
        </xdr:cNvSpPr>
      </xdr:nvSpPr>
      <xdr:spPr>
        <a:xfrm>
          <a:off x="1933575" y="267804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426</xdr:row>
      <xdr:rowOff>0</xdr:rowOff>
    </xdr:from>
    <xdr:ext cx="104775" cy="257175"/>
    <xdr:sp fLocksText="0">
      <xdr:nvSpPr>
        <xdr:cNvPr id="179" name="Text Box 68"/>
        <xdr:cNvSpPr txBox="1">
          <a:spLocks noChangeArrowheads="1"/>
        </xdr:cNvSpPr>
      </xdr:nvSpPr>
      <xdr:spPr>
        <a:xfrm>
          <a:off x="1933575" y="267804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425</xdr:row>
      <xdr:rowOff>400050</xdr:rowOff>
    </xdr:from>
    <xdr:ext cx="104775" cy="257175"/>
    <xdr:sp fLocksText="0">
      <xdr:nvSpPr>
        <xdr:cNvPr id="180" name="Text Box 69"/>
        <xdr:cNvSpPr txBox="1">
          <a:spLocks noChangeArrowheads="1"/>
        </xdr:cNvSpPr>
      </xdr:nvSpPr>
      <xdr:spPr>
        <a:xfrm>
          <a:off x="1933575" y="2677477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427</xdr:row>
      <xdr:rowOff>0</xdr:rowOff>
    </xdr:from>
    <xdr:to>
      <xdr:col>3</xdr:col>
      <xdr:colOff>9525</xdr:colOff>
      <xdr:row>428</xdr:row>
      <xdr:rowOff>9525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8262100"/>
          <a:ext cx="1371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3</xdr:col>
      <xdr:colOff>9525</xdr:colOff>
      <xdr:row>428</xdr:row>
      <xdr:rowOff>9525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8262100"/>
          <a:ext cx="1371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183" name="Text Box 13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184" name="Text Box 15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185" name="Text Box 18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186" name="Text Box 19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187" name="Text Box 24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188" name="Text Box 25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189" name="Text Box 13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190" name="Text Box 15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191" name="Text Box 18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192" name="Text Box 19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193" name="Text Box 24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194" name="Text Box 25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195" name="Text Box 13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196" name="Text Box 15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197" name="Text Box 18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198" name="Text Box 19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199" name="Text Box 24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00" name="Text Box 25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01" name="Text Box 13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02" name="Text Box 15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03" name="Text Box 18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04" name="Text Box 19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05" name="Text Box 24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06" name="Text Box 25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07" name="Text Box 13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08" name="Text Box 15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09" name="Text Box 18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10" name="Text Box 19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11" name="Text Box 24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12" name="Text Box 25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13" name="Text Box 13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14" name="Text Box 15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15" name="Text Box 18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16" name="Text Box 19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17" name="Text Box 24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18" name="Text Box 25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19" name="Text Box 13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20" name="Text Box 15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21" name="Text Box 18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22" name="Text Box 19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23" name="Text Box 24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24" name="Text Box 25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25" name="Text Box 13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26" name="Text Box 15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27" name="Text Box 18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28" name="Text Box 19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29" name="Text Box 24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30" name="Text Box 25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31" name="Text Box 13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32" name="Text Box 15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33" name="Text Box 18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34" name="Text Box 19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35" name="Text Box 24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36" name="Text Box 25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37" name="Text Box 13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38" name="Text Box 15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39" name="Text Box 18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40" name="Text Box 19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41" name="Text Box 24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42" name="Text Box 25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43" name="Text Box 13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44" name="Text Box 15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45" name="Text Box 18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46" name="Text Box 19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47" name="Text Box 24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48" name="Text Box 25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49" name="Text Box 13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50" name="Text Box 15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51" name="Text Box 18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52" name="Text Box 19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53" name="Text Box 24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519</xdr:row>
      <xdr:rowOff>0</xdr:rowOff>
    </xdr:from>
    <xdr:ext cx="104775" cy="257175"/>
    <xdr:sp fLocksText="0">
      <xdr:nvSpPr>
        <xdr:cNvPr id="254" name="Text Box 25"/>
        <xdr:cNvSpPr txBox="1">
          <a:spLocks noChangeArrowheads="1"/>
        </xdr:cNvSpPr>
      </xdr:nvSpPr>
      <xdr:spPr>
        <a:xfrm>
          <a:off x="1933575" y="326402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55" name="Text Box 13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56" name="Text Box 15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57" name="Text Box 18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58" name="Text Box 19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59" name="Text Box 24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60" name="Text Box 25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61" name="Text Box 13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62" name="Text Box 15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63" name="Text Box 18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64" name="Text Box 19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65" name="Text Box 24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66" name="Text Box 25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67" name="Text Box 13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68" name="Text Box 15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69" name="Text Box 18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70" name="Text Box 19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71" name="Text Box 24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72" name="Text Box 25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73" name="Text Box 13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74" name="Text Box 15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75" name="Text Box 18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76" name="Text Box 19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77" name="Text Box 24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520</xdr:row>
      <xdr:rowOff>0</xdr:rowOff>
    </xdr:from>
    <xdr:ext cx="104775" cy="257175"/>
    <xdr:sp fLocksText="0">
      <xdr:nvSpPr>
        <xdr:cNvPr id="278" name="Text Box 25"/>
        <xdr:cNvSpPr txBox="1">
          <a:spLocks noChangeArrowheads="1"/>
        </xdr:cNvSpPr>
      </xdr:nvSpPr>
      <xdr:spPr>
        <a:xfrm>
          <a:off x="1933575" y="3270313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279" name="Text Box 13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280" name="Text Box 1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281" name="Text Box 18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282" name="Text Box 19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283" name="Text Box 24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284" name="Text Box 2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285" name="Text Box 13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286" name="Text Box 1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287" name="Text Box 18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288" name="Text Box 19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289" name="Text Box 24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290" name="Text Box 2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291" name="Text Box 13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292" name="Text Box 1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293" name="Text Box 18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294" name="Text Box 19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295" name="Text Box 24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296" name="Text Box 2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297" name="Text Box 13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298" name="Text Box 1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299" name="Text Box 18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00" name="Text Box 19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01" name="Text Box 24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02" name="Text Box 2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03" name="Text Box 13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04" name="Text Box 1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05" name="Text Box 18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06" name="Text Box 19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07" name="Text Box 24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08" name="Text Box 2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09" name="Text Box 13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10" name="Text Box 1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11" name="Text Box 18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12" name="Text Box 19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13" name="Text Box 24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14" name="Text Box 2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15" name="Text Box 13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16" name="Text Box 1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17" name="Text Box 18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18" name="Text Box 19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19" name="Text Box 24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20" name="Text Box 2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21" name="Text Box 13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22" name="Text Box 1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23" name="Text Box 18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24" name="Text Box 19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25" name="Text Box 24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26" name="Text Box 2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27" name="Text Box 13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28" name="Text Box 1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29" name="Text Box 18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30" name="Text Box 19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31" name="Text Box 24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32" name="Text Box 2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33" name="Text Box 13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34" name="Text Box 1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35" name="Text Box 18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36" name="Text Box 19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37" name="Text Box 24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38" name="Text Box 2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39" name="Text Box 13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40" name="Text Box 1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41" name="Text Box 18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42" name="Text Box 19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43" name="Text Box 24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44" name="Text Box 2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45" name="Text Box 13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46" name="Text Box 1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47" name="Text Box 18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48" name="Text Box 19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49" name="Text Box 24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50" name="Text Box 2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51" name="Text Box 13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52" name="Text Box 1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53" name="Text Box 18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54" name="Text Box 19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55" name="Text Box 24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56" name="Text Box 2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57" name="Text Box 13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58" name="Text Box 1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59" name="Text Box 18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60" name="Text Box 19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61" name="Text Box 24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62" name="Text Box 2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63" name="Text Box 13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64" name="Text Box 1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65" name="Text Box 18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66" name="Text Box 19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67" name="Text Box 24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68" name="Text Box 2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69" name="Text Box 13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70" name="Text Box 1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71" name="Text Box 18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72" name="Text Box 19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73" name="Text Box 24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523</xdr:row>
      <xdr:rowOff>0</xdr:rowOff>
    </xdr:from>
    <xdr:ext cx="104775" cy="257175"/>
    <xdr:sp fLocksText="0">
      <xdr:nvSpPr>
        <xdr:cNvPr id="374" name="Text Box 25"/>
        <xdr:cNvSpPr txBox="1">
          <a:spLocks noChangeArrowheads="1"/>
        </xdr:cNvSpPr>
      </xdr:nvSpPr>
      <xdr:spPr>
        <a:xfrm>
          <a:off x="1933575" y="3286887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428</xdr:row>
      <xdr:rowOff>0</xdr:rowOff>
    </xdr:from>
    <xdr:to>
      <xdr:col>3</xdr:col>
      <xdr:colOff>9525</xdr:colOff>
      <xdr:row>429</xdr:row>
      <xdr:rowOff>9525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68719300"/>
          <a:ext cx="1371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376" name="Text Box 13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377" name="Text Box 1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378" name="Text Box 18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379" name="Text Box 19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380" name="Text Box 24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381" name="Text Box 2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382" name="Text Box 13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383" name="Text Box 1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384" name="Text Box 18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385" name="Text Box 19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386" name="Text Box 24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387" name="Text Box 2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388" name="Text Box 13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389" name="Text Box 1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390" name="Text Box 18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391" name="Text Box 19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392" name="Text Box 24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393" name="Text Box 2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394" name="Text Box 13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395" name="Text Box 1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396" name="Text Box 18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397" name="Text Box 19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398" name="Text Box 24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399" name="Text Box 2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00" name="Text Box 13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01" name="Text Box 1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02" name="Text Box 18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03" name="Text Box 19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04" name="Text Box 24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05" name="Text Box 2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06" name="Text Box 13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07" name="Text Box 1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08" name="Text Box 18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09" name="Text Box 19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10" name="Text Box 24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11" name="Text Box 2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12" name="Text Box 13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13" name="Text Box 1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14" name="Text Box 18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15" name="Text Box 19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16" name="Text Box 24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17" name="Text Box 2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18" name="Text Box 13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19" name="Text Box 1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20" name="Text Box 18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21" name="Text Box 19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22" name="Text Box 24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23" name="Text Box 2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24" name="Text Box 13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25" name="Text Box 1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26" name="Text Box 18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27" name="Text Box 19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28" name="Text Box 24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29" name="Text Box 2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30" name="Text Box 13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31" name="Text Box 1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32" name="Text Box 18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33" name="Text Box 19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34" name="Text Box 24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35" name="Text Box 2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36" name="Text Box 13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37" name="Text Box 1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38" name="Text Box 18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39" name="Text Box 19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40" name="Text Box 24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41" name="Text Box 2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42" name="Text Box 13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43" name="Text Box 1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44" name="Text Box 18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45" name="Text Box 19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46" name="Text Box 24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47" name="Text Box 2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48" name="Text Box 13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49" name="Text Box 1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50" name="Text Box 18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51" name="Text Box 19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52" name="Text Box 24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53" name="Text Box 2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54" name="Text Box 13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55" name="Text Box 1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56" name="Text Box 18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57" name="Text Box 19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58" name="Text Box 24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59" name="Text Box 2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60" name="Text Box 13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61" name="Text Box 1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62" name="Text Box 18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63" name="Text Box 19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64" name="Text Box 24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65" name="Text Box 2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66" name="Text Box 13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67" name="Text Box 1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68" name="Text Box 18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69" name="Text Box 19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70" name="Text Box 24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521</xdr:row>
      <xdr:rowOff>0</xdr:rowOff>
    </xdr:from>
    <xdr:ext cx="104775" cy="257175"/>
    <xdr:sp fLocksText="0">
      <xdr:nvSpPr>
        <xdr:cNvPr id="471" name="Text Box 25"/>
        <xdr:cNvSpPr txBox="1">
          <a:spLocks noChangeArrowheads="1"/>
        </xdr:cNvSpPr>
      </xdr:nvSpPr>
      <xdr:spPr>
        <a:xfrm>
          <a:off x="1933575" y="327583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472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473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474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475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476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477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478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479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480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481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482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483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484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485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486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487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488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489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490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491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492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493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494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495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496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497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498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499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00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01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02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03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04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05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06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07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08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09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10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11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12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13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14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15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16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17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18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19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20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21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22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23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24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25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26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27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28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29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30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31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32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33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34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35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36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37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38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39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40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41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42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43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44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45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46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47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48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49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50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51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52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53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54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55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56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57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58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59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60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61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62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63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64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65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66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67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68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69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70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71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72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73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74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75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76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77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78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79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80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81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82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83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84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85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86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87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88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89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90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91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92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93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94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95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96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97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98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599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00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01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02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03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04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05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06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07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08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09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10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11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12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13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14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15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16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17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18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19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20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21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22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23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24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25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26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27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28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29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30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31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32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33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34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35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36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37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38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39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40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41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42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43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44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45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46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47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48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49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50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51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52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53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54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55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56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57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58" name="Text Box 13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59" name="Text Box 1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60" name="Text Box 18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61" name="Text Box 19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62" name="Text Box 24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522</xdr:row>
      <xdr:rowOff>0</xdr:rowOff>
    </xdr:from>
    <xdr:ext cx="104775" cy="257175"/>
    <xdr:sp fLocksText="0">
      <xdr:nvSpPr>
        <xdr:cNvPr id="663" name="Text Box 25"/>
        <xdr:cNvSpPr txBox="1">
          <a:spLocks noChangeArrowheads="1"/>
        </xdr:cNvSpPr>
      </xdr:nvSpPr>
      <xdr:spPr>
        <a:xfrm>
          <a:off x="1933575" y="328136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="60" zoomScaleNormal="60" zoomScalePageLayoutView="0" workbookViewId="0" topLeftCell="A1">
      <selection activeCell="J19" sqref="J19"/>
    </sheetView>
  </sheetViews>
  <sheetFormatPr defaultColWidth="9.140625" defaultRowHeight="12.75"/>
  <sheetData>
    <row r="1" ht="16.5">
      <c r="A1" s="2"/>
    </row>
    <row r="2" ht="16.5">
      <c r="A2" s="2"/>
    </row>
    <row r="3" ht="16.5">
      <c r="A3" s="2"/>
    </row>
    <row r="4" ht="16.5">
      <c r="A4" s="2"/>
    </row>
    <row r="5" ht="16.5">
      <c r="A5" s="2"/>
    </row>
    <row r="6" ht="16.5">
      <c r="A6" s="3"/>
    </row>
    <row r="7" ht="16.5">
      <c r="A7" s="3"/>
    </row>
    <row r="12" spans="1:15" ht="12.75" customHeight="1">
      <c r="A12" s="1501" t="s">
        <v>1317</v>
      </c>
      <c r="B12" s="1501"/>
      <c r="C12" s="1501"/>
      <c r="D12" s="1501"/>
      <c r="E12" s="1501"/>
      <c r="F12" s="1501"/>
      <c r="G12" s="1501"/>
      <c r="H12" s="1501"/>
      <c r="I12" s="1501"/>
      <c r="J12" s="1501"/>
      <c r="K12" s="1501"/>
      <c r="L12" s="1501"/>
      <c r="M12" s="1501"/>
      <c r="N12" s="1501"/>
      <c r="O12" s="1"/>
    </row>
    <row r="13" spans="1:15" ht="12.75" customHeight="1">
      <c r="A13" s="1501"/>
      <c r="B13" s="1501"/>
      <c r="C13" s="1501"/>
      <c r="D13" s="1501"/>
      <c r="E13" s="1501"/>
      <c r="F13" s="1501"/>
      <c r="G13" s="1501"/>
      <c r="H13" s="1501"/>
      <c r="I13" s="1501"/>
      <c r="J13" s="1501"/>
      <c r="K13" s="1501"/>
      <c r="L13" s="1501"/>
      <c r="M13" s="1501"/>
      <c r="N13" s="1501"/>
      <c r="O13" s="1"/>
    </row>
    <row r="14" spans="1:15" ht="12.75" customHeight="1">
      <c r="A14" s="1501"/>
      <c r="B14" s="1501"/>
      <c r="C14" s="1501"/>
      <c r="D14" s="1501"/>
      <c r="E14" s="1501"/>
      <c r="F14" s="1501"/>
      <c r="G14" s="1501"/>
      <c r="H14" s="1501"/>
      <c r="I14" s="1501"/>
      <c r="J14" s="1501"/>
      <c r="K14" s="1501"/>
      <c r="L14" s="1501"/>
      <c r="M14" s="1501"/>
      <c r="N14" s="1501"/>
      <c r="O14" s="1"/>
    </row>
    <row r="15" spans="1:15" ht="30" customHeight="1">
      <c r="A15" s="1501"/>
      <c r="B15" s="1501"/>
      <c r="C15" s="1501"/>
      <c r="D15" s="1501"/>
      <c r="E15" s="1501"/>
      <c r="F15" s="1501"/>
      <c r="G15" s="1501"/>
      <c r="H15" s="1501"/>
      <c r="I15" s="1501"/>
      <c r="J15" s="1501"/>
      <c r="K15" s="1501"/>
      <c r="L15" s="1501"/>
      <c r="M15" s="1501"/>
      <c r="N15" s="1501"/>
      <c r="O15" s="1"/>
    </row>
    <row r="16" ht="12.75" customHeight="1"/>
    <row r="17" ht="12.75" customHeight="1"/>
    <row r="18" ht="12.75">
      <c r="K18" s="4"/>
    </row>
  </sheetData>
  <sheetProtection/>
  <mergeCells count="1">
    <mergeCell ref="A12:N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4"/>
  <sheetViews>
    <sheetView view="pageBreakPreview" zoomScaleSheetLayoutView="100" zoomScalePageLayoutView="0" workbookViewId="0" topLeftCell="A73">
      <selection activeCell="J113" sqref="J113"/>
    </sheetView>
  </sheetViews>
  <sheetFormatPr defaultColWidth="9.140625" defaultRowHeight="12.75"/>
  <cols>
    <col min="1" max="1" width="13.57421875" style="0" customWidth="1"/>
    <col min="2" max="2" width="18.28125" style="0" customWidth="1"/>
    <col min="3" max="3" width="12.421875" style="0" customWidth="1"/>
    <col min="4" max="4" width="11.8515625" style="0" customWidth="1"/>
    <col min="5" max="5" width="12.28125" style="0" customWidth="1"/>
    <col min="6" max="6" width="12.421875" style="0" customWidth="1"/>
    <col min="7" max="7" width="11.140625" style="0" customWidth="1"/>
    <col min="8" max="8" width="13.00390625" style="0" customWidth="1"/>
    <col min="9" max="10" width="12.140625" style="0" customWidth="1"/>
  </cols>
  <sheetData>
    <row r="2" spans="4:6" ht="19.5" customHeight="1">
      <c r="D2" s="1554" t="s">
        <v>1309</v>
      </c>
      <c r="E2" s="1554"/>
      <c r="F2" s="1554"/>
    </row>
    <row r="3" spans="1:10" s="1124" customFormat="1" ht="36" customHeight="1">
      <c r="A3" s="1550" t="s">
        <v>1318</v>
      </c>
      <c r="B3" s="1551"/>
      <c r="C3" s="1551"/>
      <c r="D3" s="1551"/>
      <c r="E3" s="1551"/>
      <c r="F3" s="1551"/>
      <c r="G3" s="1551"/>
      <c r="H3" s="1551"/>
      <c r="I3" s="1551"/>
      <c r="J3" s="1552"/>
    </row>
    <row r="4" spans="1:10" s="1124" customFormat="1" ht="45.75" customHeight="1">
      <c r="A4" s="1125" t="s">
        <v>1213</v>
      </c>
      <c r="B4" s="1125" t="s">
        <v>1214</v>
      </c>
      <c r="C4" s="1125" t="s">
        <v>1215</v>
      </c>
      <c r="D4" s="1125">
        <v>501</v>
      </c>
      <c r="E4" s="1126" t="s">
        <v>141</v>
      </c>
      <c r="F4" s="1127" t="s">
        <v>143</v>
      </c>
      <c r="G4" s="1126" t="s">
        <v>142</v>
      </c>
      <c r="H4" s="1126" t="s">
        <v>597</v>
      </c>
      <c r="I4" s="1126" t="s">
        <v>1308</v>
      </c>
      <c r="J4" s="1126" t="s">
        <v>1216</v>
      </c>
    </row>
    <row r="5" spans="1:10" s="1124" customFormat="1" ht="13.5" customHeight="1">
      <c r="A5" s="1126" t="s">
        <v>1217</v>
      </c>
      <c r="B5" s="1126" t="s">
        <v>1218</v>
      </c>
      <c r="C5" s="1126" t="s">
        <v>1219</v>
      </c>
      <c r="D5" s="1126" t="s">
        <v>1220</v>
      </c>
      <c r="E5" s="1126" t="s">
        <v>1221</v>
      </c>
      <c r="F5" s="1126" t="s">
        <v>1222</v>
      </c>
      <c r="G5" s="1126" t="s">
        <v>1223</v>
      </c>
      <c r="H5" s="1126" t="s">
        <v>1224</v>
      </c>
      <c r="I5" s="1126" t="s">
        <v>1225</v>
      </c>
      <c r="J5" s="1126" t="s">
        <v>399</v>
      </c>
    </row>
    <row r="6" spans="1:10" s="1124" customFormat="1" ht="24" customHeight="1">
      <c r="A6" s="1553" t="s">
        <v>1310</v>
      </c>
      <c r="B6" s="1553"/>
      <c r="C6" s="1553"/>
      <c r="D6" s="1553"/>
      <c r="E6" s="1553"/>
      <c r="F6" s="1553"/>
      <c r="G6" s="1553"/>
      <c r="H6" s="1553"/>
      <c r="I6" s="1553"/>
      <c r="J6" s="1553"/>
    </row>
    <row r="7" spans="1:10" s="1124" customFormat="1" ht="22.5" customHeight="1">
      <c r="A7" s="1555" t="s">
        <v>568</v>
      </c>
      <c r="B7" s="1555"/>
      <c r="C7" s="1555"/>
      <c r="D7" s="1555"/>
      <c r="E7" s="1555"/>
      <c r="F7" s="1555"/>
      <c r="G7" s="1555"/>
      <c r="H7" s="1555"/>
      <c r="I7" s="1555"/>
      <c r="J7" s="1555"/>
    </row>
    <row r="8" spans="1:10" s="1124" customFormat="1" ht="29.25">
      <c r="A8" s="1129">
        <v>1</v>
      </c>
      <c r="B8" s="1129" t="s">
        <v>1228</v>
      </c>
      <c r="C8" s="1130">
        <f aca="true" t="shared" si="0" ref="C8:C13">SUM(D8:I8)</f>
        <v>561524.54</v>
      </c>
      <c r="D8" s="1130">
        <v>0</v>
      </c>
      <c r="E8" s="1131">
        <v>0</v>
      </c>
      <c r="F8" s="1131">
        <v>0</v>
      </c>
      <c r="G8" s="1131">
        <v>0</v>
      </c>
      <c r="H8" s="1131">
        <v>561524.54</v>
      </c>
      <c r="I8" s="1131">
        <v>0</v>
      </c>
      <c r="J8" s="1135"/>
    </row>
    <row r="9" spans="1:10" s="1124" customFormat="1" ht="32.25" customHeight="1">
      <c r="A9" s="1129">
        <v>2</v>
      </c>
      <c r="B9" s="1129" t="s">
        <v>1229</v>
      </c>
      <c r="C9" s="1130">
        <f t="shared" si="0"/>
        <v>120885.18000000001</v>
      </c>
      <c r="D9" s="1130">
        <v>0</v>
      </c>
      <c r="E9" s="1131">
        <v>0</v>
      </c>
      <c r="F9" s="1131">
        <v>117793.58</v>
      </c>
      <c r="G9" s="1131">
        <v>0</v>
      </c>
      <c r="H9" s="1131">
        <v>0</v>
      </c>
      <c r="I9" s="1131">
        <v>3091.6</v>
      </c>
      <c r="J9" s="1135"/>
    </row>
    <row r="10" spans="1:10" s="1124" customFormat="1" ht="28.5" customHeight="1">
      <c r="A10" s="1129">
        <v>3</v>
      </c>
      <c r="B10" s="1129" t="s">
        <v>1230</v>
      </c>
      <c r="C10" s="1130">
        <f t="shared" si="0"/>
        <v>401259.49</v>
      </c>
      <c r="D10" s="1130">
        <v>0</v>
      </c>
      <c r="E10" s="1131">
        <v>0</v>
      </c>
      <c r="F10" s="1131">
        <v>362572.15</v>
      </c>
      <c r="G10" s="1131">
        <v>0</v>
      </c>
      <c r="H10" s="1131">
        <v>0</v>
      </c>
      <c r="I10" s="1131">
        <v>38687.34</v>
      </c>
      <c r="J10" s="1135"/>
    </row>
    <row r="11" spans="1:10" s="1124" customFormat="1" ht="20.25" customHeight="1">
      <c r="A11" s="1129">
        <v>4</v>
      </c>
      <c r="B11" s="1129" t="s">
        <v>1231</v>
      </c>
      <c r="C11" s="1130">
        <f t="shared" si="0"/>
        <v>50000</v>
      </c>
      <c r="D11" s="1130">
        <v>0</v>
      </c>
      <c r="E11" s="1131">
        <v>0</v>
      </c>
      <c r="F11" s="1131">
        <v>50000</v>
      </c>
      <c r="G11" s="1131">
        <v>0</v>
      </c>
      <c r="H11" s="1131">
        <v>0</v>
      </c>
      <c r="I11" s="1131">
        <v>0</v>
      </c>
      <c r="J11" s="1135"/>
    </row>
    <row r="12" spans="1:10" s="1124" customFormat="1" ht="36" customHeight="1">
      <c r="A12" s="1129">
        <v>5</v>
      </c>
      <c r="B12" s="1129" t="s">
        <v>1232</v>
      </c>
      <c r="C12" s="1130">
        <f t="shared" si="0"/>
        <v>891967.14</v>
      </c>
      <c r="D12" s="1130">
        <v>0</v>
      </c>
      <c r="E12" s="1131">
        <v>0</v>
      </c>
      <c r="F12" s="1131">
        <v>847967.14</v>
      </c>
      <c r="G12" s="1131">
        <v>0</v>
      </c>
      <c r="H12" s="1131">
        <v>44000</v>
      </c>
      <c r="I12" s="1131">
        <v>0</v>
      </c>
      <c r="J12" s="1135"/>
    </row>
    <row r="13" spans="1:10" s="1124" customFormat="1" ht="23.25" customHeight="1">
      <c r="A13" s="1129">
        <v>6</v>
      </c>
      <c r="B13" s="1129" t="s">
        <v>1233</v>
      </c>
      <c r="C13" s="1130">
        <f t="shared" si="0"/>
        <v>83277.07</v>
      </c>
      <c r="D13" s="1130">
        <v>0</v>
      </c>
      <c r="E13" s="1131">
        <v>0</v>
      </c>
      <c r="F13" s="1131">
        <v>0</v>
      </c>
      <c r="G13" s="1131">
        <v>0</v>
      </c>
      <c r="H13" s="1131">
        <v>0</v>
      </c>
      <c r="I13" s="1131">
        <v>83277.07</v>
      </c>
      <c r="J13" s="1135"/>
    </row>
    <row r="14" spans="1:10" s="1124" customFormat="1" ht="22.5" customHeight="1">
      <c r="A14" s="1556" t="s">
        <v>1234</v>
      </c>
      <c r="B14" s="1556"/>
      <c r="C14" s="1136">
        <f aca="true" t="shared" si="1" ref="C14:I14">SUM(C8:C13)</f>
        <v>2108913.42</v>
      </c>
      <c r="D14" s="1136">
        <f t="shared" si="1"/>
        <v>0</v>
      </c>
      <c r="E14" s="1136">
        <f t="shared" si="1"/>
        <v>0</v>
      </c>
      <c r="F14" s="1136">
        <f t="shared" si="1"/>
        <v>1378332.87</v>
      </c>
      <c r="G14" s="1136">
        <f t="shared" si="1"/>
        <v>0</v>
      </c>
      <c r="H14" s="1136">
        <f t="shared" si="1"/>
        <v>605524.54</v>
      </c>
      <c r="I14" s="1136">
        <f t="shared" si="1"/>
        <v>125056.01000000001</v>
      </c>
      <c r="J14" s="1135"/>
    </row>
    <row r="15" spans="1:10" s="1124" customFormat="1" ht="22.5" customHeight="1">
      <c r="A15" s="1557" t="s">
        <v>1235</v>
      </c>
      <c r="B15" s="1557"/>
      <c r="C15" s="1557"/>
      <c r="D15" s="1557"/>
      <c r="E15" s="1557"/>
      <c r="F15" s="1557"/>
      <c r="G15" s="1557"/>
      <c r="H15" s="1557"/>
      <c r="I15" s="1557"/>
      <c r="J15" s="1557"/>
    </row>
    <row r="16" spans="1:10" s="1124" customFormat="1" ht="45" customHeight="1">
      <c r="A16" s="1129">
        <v>1</v>
      </c>
      <c r="B16" s="1129" t="s">
        <v>1236</v>
      </c>
      <c r="C16" s="1130">
        <f aca="true" t="shared" si="2" ref="C16:C39">SUM(D16:I16)</f>
        <v>1100000</v>
      </c>
      <c r="D16" s="1130">
        <v>0</v>
      </c>
      <c r="E16" s="1131">
        <v>600000</v>
      </c>
      <c r="F16" s="1131">
        <v>500000</v>
      </c>
      <c r="G16" s="1131">
        <v>0</v>
      </c>
      <c r="H16" s="1131">
        <v>0</v>
      </c>
      <c r="I16" s="1131">
        <v>0</v>
      </c>
      <c r="J16" s="1129" t="s">
        <v>1237</v>
      </c>
    </row>
    <row r="17" spans="1:10" s="1124" customFormat="1" ht="51.75" customHeight="1">
      <c r="A17" s="1129">
        <v>2</v>
      </c>
      <c r="B17" s="1129" t="s">
        <v>1238</v>
      </c>
      <c r="C17" s="1130">
        <f t="shared" si="2"/>
        <v>450000</v>
      </c>
      <c r="D17" s="1130">
        <v>0</v>
      </c>
      <c r="E17" s="1131">
        <v>0</v>
      </c>
      <c r="F17" s="1131">
        <v>450000</v>
      </c>
      <c r="G17" s="1131">
        <v>0</v>
      </c>
      <c r="H17" s="1131">
        <v>0</v>
      </c>
      <c r="I17" s="1131">
        <v>0</v>
      </c>
      <c r="J17" s="1129" t="s">
        <v>1239</v>
      </c>
    </row>
    <row r="18" spans="1:10" s="1124" customFormat="1" ht="21.75" customHeight="1">
      <c r="A18" s="1129">
        <v>3</v>
      </c>
      <c r="B18" s="1129" t="s">
        <v>1240</v>
      </c>
      <c r="C18" s="1130">
        <f t="shared" si="2"/>
        <v>450000</v>
      </c>
      <c r="D18" s="1130">
        <v>0</v>
      </c>
      <c r="E18" s="1131">
        <v>0</v>
      </c>
      <c r="F18" s="1131">
        <v>450000</v>
      </c>
      <c r="G18" s="1131">
        <v>0</v>
      </c>
      <c r="H18" s="1131">
        <v>0</v>
      </c>
      <c r="I18" s="1131">
        <v>0</v>
      </c>
      <c r="J18" s="1129" t="s">
        <v>1239</v>
      </c>
    </row>
    <row r="19" spans="1:10" s="1124" customFormat="1" ht="22.5" customHeight="1">
      <c r="A19" s="1129">
        <v>4</v>
      </c>
      <c r="B19" s="1129" t="s">
        <v>1241</v>
      </c>
      <c r="C19" s="1130">
        <f t="shared" si="2"/>
        <v>380000</v>
      </c>
      <c r="D19" s="1130">
        <v>0</v>
      </c>
      <c r="E19" s="1131">
        <v>0</v>
      </c>
      <c r="F19" s="1131">
        <v>380000</v>
      </c>
      <c r="G19" s="1131">
        <v>0</v>
      </c>
      <c r="H19" s="1131">
        <v>0</v>
      </c>
      <c r="I19" s="1131">
        <v>0</v>
      </c>
      <c r="J19" s="1129" t="s">
        <v>1239</v>
      </c>
    </row>
    <row r="20" spans="1:10" s="1124" customFormat="1" ht="15" customHeight="1">
      <c r="A20" s="1129">
        <v>5</v>
      </c>
      <c r="B20" s="1129" t="s">
        <v>1242</v>
      </c>
      <c r="C20" s="1130">
        <f t="shared" si="2"/>
        <v>340000</v>
      </c>
      <c r="D20" s="1130">
        <v>0</v>
      </c>
      <c r="E20" s="1131">
        <v>0</v>
      </c>
      <c r="F20" s="1131">
        <v>340000</v>
      </c>
      <c r="G20" s="1131">
        <v>0</v>
      </c>
      <c r="H20" s="1131">
        <v>0</v>
      </c>
      <c r="I20" s="1131">
        <v>0</v>
      </c>
      <c r="J20" s="1129" t="s">
        <v>1239</v>
      </c>
    </row>
    <row r="21" spans="1:10" s="1124" customFormat="1" ht="50.25" customHeight="1">
      <c r="A21" s="1129">
        <v>6</v>
      </c>
      <c r="B21" s="1129" t="s">
        <v>1243</v>
      </c>
      <c r="C21" s="1130">
        <f t="shared" si="2"/>
        <v>220000</v>
      </c>
      <c r="D21" s="1130">
        <v>0</v>
      </c>
      <c r="E21" s="1131">
        <v>0</v>
      </c>
      <c r="F21" s="1131">
        <v>220000</v>
      </c>
      <c r="G21" s="1131">
        <v>0</v>
      </c>
      <c r="H21" s="1131">
        <v>0</v>
      </c>
      <c r="I21" s="1131">
        <v>0</v>
      </c>
      <c r="J21" s="1129" t="s">
        <v>1239</v>
      </c>
    </row>
    <row r="22" spans="1:10" s="1124" customFormat="1" ht="51" customHeight="1">
      <c r="A22" s="1129">
        <v>7</v>
      </c>
      <c r="B22" s="1129" t="s">
        <v>1244</v>
      </c>
      <c r="C22" s="1130">
        <f t="shared" si="2"/>
        <v>140000</v>
      </c>
      <c r="D22" s="1130">
        <v>0</v>
      </c>
      <c r="E22" s="1131">
        <v>0</v>
      </c>
      <c r="F22" s="1131">
        <v>140000</v>
      </c>
      <c r="G22" s="1131">
        <v>0</v>
      </c>
      <c r="H22" s="1131">
        <v>0</v>
      </c>
      <c r="I22" s="1131">
        <v>0</v>
      </c>
      <c r="J22" s="1129" t="s">
        <v>1239</v>
      </c>
    </row>
    <row r="23" spans="1:10" s="1124" customFormat="1" ht="21.75" customHeight="1">
      <c r="A23" s="1129">
        <v>8</v>
      </c>
      <c r="B23" s="1129" t="s">
        <v>1245</v>
      </c>
      <c r="C23" s="1130">
        <f t="shared" si="2"/>
        <v>102000</v>
      </c>
      <c r="D23" s="1130">
        <v>0</v>
      </c>
      <c r="E23" s="1131">
        <v>0</v>
      </c>
      <c r="F23" s="1131">
        <v>102000</v>
      </c>
      <c r="G23" s="1131">
        <v>0</v>
      </c>
      <c r="H23" s="1131">
        <v>0</v>
      </c>
      <c r="I23" s="1131">
        <v>0</v>
      </c>
      <c r="J23" s="1129" t="s">
        <v>1239</v>
      </c>
    </row>
    <row r="24" spans="1:10" s="1124" customFormat="1" ht="40.5" customHeight="1">
      <c r="A24" s="1129">
        <v>9</v>
      </c>
      <c r="B24" s="1129" t="s">
        <v>1246</v>
      </c>
      <c r="C24" s="1130">
        <f t="shared" si="2"/>
        <v>240000</v>
      </c>
      <c r="D24" s="1130">
        <v>0</v>
      </c>
      <c r="E24" s="1131">
        <v>0</v>
      </c>
      <c r="F24" s="1131">
        <v>240000</v>
      </c>
      <c r="G24" s="1131">
        <v>0</v>
      </c>
      <c r="H24" s="1131">
        <v>0</v>
      </c>
      <c r="I24" s="1131">
        <v>0</v>
      </c>
      <c r="J24" s="1129" t="s">
        <v>1239</v>
      </c>
    </row>
    <row r="25" spans="1:10" s="1124" customFormat="1" ht="13.5" customHeight="1">
      <c r="A25" s="1129">
        <v>10</v>
      </c>
      <c r="B25" s="1129" t="s">
        <v>1247</v>
      </c>
      <c r="C25" s="1130">
        <f t="shared" si="2"/>
        <v>105000</v>
      </c>
      <c r="D25" s="1130">
        <v>0</v>
      </c>
      <c r="E25" s="1131">
        <v>0</v>
      </c>
      <c r="F25" s="1131">
        <v>105000</v>
      </c>
      <c r="G25" s="1131">
        <v>0</v>
      </c>
      <c r="H25" s="1131">
        <v>0</v>
      </c>
      <c r="I25" s="1131">
        <v>0</v>
      </c>
      <c r="J25" s="1129" t="s">
        <v>1239</v>
      </c>
    </row>
    <row r="26" spans="1:10" s="1124" customFormat="1" ht="33.75" customHeight="1">
      <c r="A26" s="1129">
        <v>11</v>
      </c>
      <c r="B26" s="1129" t="s">
        <v>1248</v>
      </c>
      <c r="C26" s="1130">
        <f t="shared" si="2"/>
        <v>140000</v>
      </c>
      <c r="D26" s="1130">
        <v>0</v>
      </c>
      <c r="E26" s="1131">
        <v>0</v>
      </c>
      <c r="F26" s="1131">
        <v>140000</v>
      </c>
      <c r="G26" s="1131">
        <v>0</v>
      </c>
      <c r="H26" s="1131">
        <v>0</v>
      </c>
      <c r="I26" s="1131">
        <v>0</v>
      </c>
      <c r="J26" s="1129" t="s">
        <v>1239</v>
      </c>
    </row>
    <row r="27" spans="1:10" s="1124" customFormat="1" ht="19.5">
      <c r="A27" s="1129">
        <v>12</v>
      </c>
      <c r="B27" s="1129" t="s">
        <v>1249</v>
      </c>
      <c r="C27" s="1130">
        <f t="shared" si="2"/>
        <v>195000</v>
      </c>
      <c r="D27" s="1130">
        <v>0</v>
      </c>
      <c r="E27" s="1131">
        <v>0</v>
      </c>
      <c r="F27" s="1131">
        <v>195000</v>
      </c>
      <c r="G27" s="1131">
        <v>0</v>
      </c>
      <c r="H27" s="1131">
        <v>0</v>
      </c>
      <c r="I27" s="1131">
        <v>0</v>
      </c>
      <c r="J27" s="1129" t="s">
        <v>1239</v>
      </c>
    </row>
    <row r="28" spans="1:10" s="1124" customFormat="1" ht="91.5" customHeight="1">
      <c r="A28" s="1129">
        <v>13</v>
      </c>
      <c r="B28" s="1129" t="s">
        <v>1250</v>
      </c>
      <c r="C28" s="1130">
        <f t="shared" si="2"/>
        <v>150000</v>
      </c>
      <c r="D28" s="1130">
        <v>0</v>
      </c>
      <c r="E28" s="1131">
        <v>0</v>
      </c>
      <c r="F28" s="1131">
        <v>150000</v>
      </c>
      <c r="G28" s="1131">
        <v>0</v>
      </c>
      <c r="H28" s="1131">
        <v>0</v>
      </c>
      <c r="I28" s="1131">
        <v>0</v>
      </c>
      <c r="J28" s="1129" t="s">
        <v>1239</v>
      </c>
    </row>
    <row r="29" spans="1:10" s="1124" customFormat="1" ht="57.75" customHeight="1">
      <c r="A29" s="1129">
        <v>14</v>
      </c>
      <c r="B29" s="1129" t="s">
        <v>1251</v>
      </c>
      <c r="C29" s="1130">
        <f t="shared" si="2"/>
        <v>68000</v>
      </c>
      <c r="D29" s="1130">
        <v>0</v>
      </c>
      <c r="E29" s="1131">
        <v>0</v>
      </c>
      <c r="F29" s="1131">
        <v>68000</v>
      </c>
      <c r="G29" s="1131">
        <v>0</v>
      </c>
      <c r="H29" s="1131">
        <v>0</v>
      </c>
      <c r="I29" s="1131">
        <v>0</v>
      </c>
      <c r="J29" s="1129" t="s">
        <v>1239</v>
      </c>
    </row>
    <row r="30" spans="1:10" s="1124" customFormat="1" ht="67.5" customHeight="1">
      <c r="A30" s="1129">
        <v>15</v>
      </c>
      <c r="B30" s="1129" t="s">
        <v>1252</v>
      </c>
      <c r="C30" s="1130">
        <f t="shared" si="2"/>
        <v>270000</v>
      </c>
      <c r="D30" s="1130">
        <v>0</v>
      </c>
      <c r="E30" s="1131">
        <v>0</v>
      </c>
      <c r="F30" s="1131">
        <v>270000</v>
      </c>
      <c r="G30" s="1131">
        <v>0</v>
      </c>
      <c r="H30" s="1131">
        <v>0</v>
      </c>
      <c r="I30" s="1131">
        <v>0</v>
      </c>
      <c r="J30" s="1129" t="s">
        <v>1239</v>
      </c>
    </row>
    <row r="31" spans="1:10" s="1124" customFormat="1" ht="25.5" customHeight="1">
      <c r="A31" s="1129">
        <v>16</v>
      </c>
      <c r="B31" s="1129" t="s">
        <v>1253</v>
      </c>
      <c r="C31" s="1130">
        <f t="shared" si="2"/>
        <v>250000</v>
      </c>
      <c r="D31" s="1130">
        <v>0</v>
      </c>
      <c r="E31" s="1131">
        <v>0</v>
      </c>
      <c r="F31" s="1131">
        <v>250000</v>
      </c>
      <c r="G31" s="1131">
        <v>0</v>
      </c>
      <c r="H31" s="1131">
        <v>0</v>
      </c>
      <c r="I31" s="1131">
        <v>0</v>
      </c>
      <c r="J31" s="1129" t="s">
        <v>1239</v>
      </c>
    </row>
    <row r="32" spans="1:10" s="1124" customFormat="1" ht="39.75" customHeight="1">
      <c r="A32" s="1129">
        <v>17</v>
      </c>
      <c r="B32" s="1129" t="s">
        <v>1254</v>
      </c>
      <c r="C32" s="1130">
        <f t="shared" si="2"/>
        <v>920000</v>
      </c>
      <c r="D32" s="1130">
        <v>0</v>
      </c>
      <c r="E32" s="1131">
        <v>0</v>
      </c>
      <c r="F32" s="1131">
        <v>920000</v>
      </c>
      <c r="G32" s="1131">
        <v>0</v>
      </c>
      <c r="H32" s="1131">
        <v>0</v>
      </c>
      <c r="I32" s="1131">
        <v>0</v>
      </c>
      <c r="J32" s="1135"/>
    </row>
    <row r="33" spans="1:10" s="1124" customFormat="1" ht="23.25" customHeight="1">
      <c r="A33" s="1129">
        <v>18</v>
      </c>
      <c r="B33" s="1129" t="s">
        <v>1255</v>
      </c>
      <c r="C33" s="1130">
        <f t="shared" si="2"/>
        <v>968754.6499999999</v>
      </c>
      <c r="D33" s="1130">
        <v>0</v>
      </c>
      <c r="E33" s="1131">
        <v>308554.36</v>
      </c>
      <c r="F33" s="1131">
        <v>466449.36</v>
      </c>
      <c r="G33" s="1131">
        <v>0</v>
      </c>
      <c r="H33" s="1131">
        <v>0</v>
      </c>
      <c r="I33" s="1131">
        <v>193750.93</v>
      </c>
      <c r="J33" s="1135"/>
    </row>
    <row r="34" spans="1:10" s="1124" customFormat="1" ht="39.75" customHeight="1">
      <c r="A34" s="1129">
        <v>19</v>
      </c>
      <c r="B34" s="1129" t="s">
        <v>1256</v>
      </c>
      <c r="C34" s="1130">
        <f t="shared" si="2"/>
        <v>20000</v>
      </c>
      <c r="D34" s="1130">
        <v>0</v>
      </c>
      <c r="E34" s="1131">
        <v>0</v>
      </c>
      <c r="F34" s="1131">
        <v>20000</v>
      </c>
      <c r="G34" s="1131">
        <v>0</v>
      </c>
      <c r="H34" s="1131">
        <v>0</v>
      </c>
      <c r="I34" s="1131">
        <v>0</v>
      </c>
      <c r="J34" s="1135"/>
    </row>
    <row r="35" spans="1:10" s="1124" customFormat="1" ht="22.5" customHeight="1">
      <c r="A35" s="1129">
        <v>20</v>
      </c>
      <c r="B35" s="1129" t="s">
        <v>1257</v>
      </c>
      <c r="C35" s="1130">
        <f t="shared" si="2"/>
        <v>446252.01</v>
      </c>
      <c r="D35" s="1130">
        <v>0</v>
      </c>
      <c r="E35" s="1131">
        <v>0</v>
      </c>
      <c r="F35" s="1131">
        <v>0</v>
      </c>
      <c r="G35" s="1131">
        <v>0</v>
      </c>
      <c r="H35" s="1131">
        <v>446252.01</v>
      </c>
      <c r="I35" s="1131">
        <v>0</v>
      </c>
      <c r="J35" s="1135"/>
    </row>
    <row r="36" spans="1:10" s="1124" customFormat="1" ht="19.5">
      <c r="A36" s="1129">
        <v>21</v>
      </c>
      <c r="B36" s="1129" t="s">
        <v>1258</v>
      </c>
      <c r="C36" s="1130">
        <f t="shared" si="2"/>
        <v>290594.38</v>
      </c>
      <c r="D36" s="1130">
        <v>0</v>
      </c>
      <c r="E36" s="1131">
        <v>0</v>
      </c>
      <c r="F36" s="1131">
        <v>0</v>
      </c>
      <c r="G36" s="1131">
        <v>0</v>
      </c>
      <c r="H36" s="1131">
        <v>290594.38</v>
      </c>
      <c r="I36" s="1131">
        <v>0</v>
      </c>
      <c r="J36" s="1135"/>
    </row>
    <row r="37" spans="1:10" s="1124" customFormat="1" ht="34.5" customHeight="1">
      <c r="A37" s="1129">
        <v>22</v>
      </c>
      <c r="B37" s="1129" t="s">
        <v>1259</v>
      </c>
      <c r="C37" s="1130">
        <f t="shared" si="2"/>
        <v>349999.65</v>
      </c>
      <c r="D37" s="1130">
        <v>0</v>
      </c>
      <c r="E37" s="1131">
        <v>0</v>
      </c>
      <c r="F37" s="1131">
        <v>100000</v>
      </c>
      <c r="G37" s="1131">
        <v>0</v>
      </c>
      <c r="H37" s="1131">
        <v>249999.65</v>
      </c>
      <c r="I37" s="1131">
        <v>0</v>
      </c>
      <c r="J37" s="1135"/>
    </row>
    <row r="38" spans="1:10" s="1124" customFormat="1" ht="44.25" customHeight="1">
      <c r="A38" s="1129">
        <v>23</v>
      </c>
      <c r="B38" s="1129" t="s">
        <v>1260</v>
      </c>
      <c r="C38" s="1130">
        <f t="shared" si="2"/>
        <v>300000</v>
      </c>
      <c r="D38" s="1130">
        <v>0</v>
      </c>
      <c r="E38" s="1131">
        <v>0</v>
      </c>
      <c r="F38" s="1131">
        <v>300000</v>
      </c>
      <c r="G38" s="1131">
        <v>0</v>
      </c>
      <c r="H38" s="1131">
        <v>0</v>
      </c>
      <c r="I38" s="1131">
        <v>0</v>
      </c>
      <c r="J38" s="1135"/>
    </row>
    <row r="39" spans="1:10" s="1124" customFormat="1" ht="25.5" customHeight="1">
      <c r="A39" s="1129">
        <v>24</v>
      </c>
      <c r="B39" s="1129" t="s">
        <v>1261</v>
      </c>
      <c r="C39" s="1130">
        <f t="shared" si="2"/>
        <v>132000</v>
      </c>
      <c r="D39" s="1130">
        <v>0</v>
      </c>
      <c r="E39" s="1131">
        <v>0</v>
      </c>
      <c r="F39" s="1131">
        <v>32000</v>
      </c>
      <c r="G39" s="1131">
        <v>0</v>
      </c>
      <c r="H39" s="1131">
        <v>0</v>
      </c>
      <c r="I39" s="1131">
        <v>100000</v>
      </c>
      <c r="J39" s="1135"/>
    </row>
    <row r="40" spans="1:11" s="1124" customFormat="1" ht="20.25" customHeight="1">
      <c r="A40" s="1556" t="s">
        <v>1234</v>
      </c>
      <c r="B40" s="1556"/>
      <c r="C40" s="1133">
        <f aca="true" t="shared" si="3" ref="C40:I40">SUM(C16:C39)</f>
        <v>8027600.69</v>
      </c>
      <c r="D40" s="1133">
        <f t="shared" si="3"/>
        <v>0</v>
      </c>
      <c r="E40" s="1133">
        <f t="shared" si="3"/>
        <v>908554.36</v>
      </c>
      <c r="F40" s="1133">
        <f t="shared" si="3"/>
        <v>5838449.36</v>
      </c>
      <c r="G40" s="1133">
        <f t="shared" si="3"/>
        <v>0</v>
      </c>
      <c r="H40" s="1133">
        <f t="shared" si="3"/>
        <v>986846.04</v>
      </c>
      <c r="I40" s="1133">
        <f t="shared" si="3"/>
        <v>293750.93</v>
      </c>
      <c r="J40" s="1135"/>
      <c r="K40" s="1137"/>
    </row>
    <row r="41" spans="1:10" s="1124" customFormat="1" ht="22.5" customHeight="1">
      <c r="A41" s="1555" t="s">
        <v>1262</v>
      </c>
      <c r="B41" s="1555"/>
      <c r="C41" s="1555"/>
      <c r="D41" s="1555"/>
      <c r="E41" s="1555"/>
      <c r="F41" s="1555"/>
      <c r="G41" s="1555"/>
      <c r="H41" s="1555"/>
      <c r="I41" s="1555"/>
      <c r="J41" s="1555"/>
    </row>
    <row r="42" spans="1:10" s="1124" customFormat="1" ht="31.5" customHeight="1">
      <c r="A42" s="1129">
        <v>1</v>
      </c>
      <c r="B42" s="1130" t="s">
        <v>1263</v>
      </c>
      <c r="C42" s="1130">
        <f>SUM(D42:I42)</f>
        <v>110481.21</v>
      </c>
      <c r="D42" s="1130">
        <v>0</v>
      </c>
      <c r="E42" s="1131">
        <v>0</v>
      </c>
      <c r="F42" s="1131">
        <v>104736.8</v>
      </c>
      <c r="G42" s="1131">
        <v>0</v>
      </c>
      <c r="H42" s="1131">
        <v>5744.41</v>
      </c>
      <c r="I42" s="1131">
        <v>0</v>
      </c>
      <c r="J42" s="1135"/>
    </row>
    <row r="43" spans="1:10" s="1124" customFormat="1" ht="31.5" customHeight="1">
      <c r="A43" s="1129">
        <v>2</v>
      </c>
      <c r="B43" s="1130" t="s">
        <v>1264</v>
      </c>
      <c r="C43" s="1130">
        <f>SUM(D43:I43)</f>
        <v>60000</v>
      </c>
      <c r="D43" s="1130">
        <v>0</v>
      </c>
      <c r="E43" s="1131">
        <v>0</v>
      </c>
      <c r="F43" s="1131">
        <v>0</v>
      </c>
      <c r="G43" s="1131">
        <v>0</v>
      </c>
      <c r="H43" s="1131">
        <v>60000</v>
      </c>
      <c r="I43" s="1131">
        <v>0</v>
      </c>
      <c r="J43" s="1135"/>
    </row>
    <row r="44" spans="1:10" s="1124" customFormat="1" ht="32.25" customHeight="1">
      <c r="A44" s="1129">
        <v>3</v>
      </c>
      <c r="B44" s="1130" t="s">
        <v>1265</v>
      </c>
      <c r="C44" s="1130">
        <f>SUM(D44:I44)</f>
        <v>326000</v>
      </c>
      <c r="D44" s="1130">
        <v>0</v>
      </c>
      <c r="E44" s="1131">
        <v>0</v>
      </c>
      <c r="F44" s="1131">
        <v>0</v>
      </c>
      <c r="G44" s="1131">
        <v>0</v>
      </c>
      <c r="H44" s="1131">
        <v>90000</v>
      </c>
      <c r="I44" s="1131">
        <v>236000</v>
      </c>
      <c r="J44" s="1135"/>
    </row>
    <row r="45" spans="1:10" s="1124" customFormat="1" ht="24" customHeight="1">
      <c r="A45" s="1556" t="s">
        <v>1234</v>
      </c>
      <c r="B45" s="1556"/>
      <c r="C45" s="1136">
        <f aca="true" t="shared" si="4" ref="C45:I45">SUM(C42:C44)</f>
        <v>496481.21</v>
      </c>
      <c r="D45" s="1136">
        <f t="shared" si="4"/>
        <v>0</v>
      </c>
      <c r="E45" s="1136">
        <f t="shared" si="4"/>
        <v>0</v>
      </c>
      <c r="F45" s="1136">
        <f t="shared" si="4"/>
        <v>104736.8</v>
      </c>
      <c r="G45" s="1136">
        <f t="shared" si="4"/>
        <v>0</v>
      </c>
      <c r="H45" s="1136">
        <f t="shared" si="4"/>
        <v>155744.41</v>
      </c>
      <c r="I45" s="1136">
        <f t="shared" si="4"/>
        <v>236000</v>
      </c>
      <c r="J45" s="1135"/>
    </row>
    <row r="46" spans="1:10" s="1124" customFormat="1" ht="22.5" customHeight="1">
      <c r="A46" s="1555" t="s">
        <v>1266</v>
      </c>
      <c r="B46" s="1555"/>
      <c r="C46" s="1555"/>
      <c r="D46" s="1555"/>
      <c r="E46" s="1555"/>
      <c r="F46" s="1555"/>
      <c r="G46" s="1555"/>
      <c r="H46" s="1555"/>
      <c r="I46" s="1555"/>
      <c r="J46" s="1555"/>
    </row>
    <row r="47" spans="1:10" s="1124" customFormat="1" ht="22.5" customHeight="1">
      <c r="A47" s="1129">
        <v>1</v>
      </c>
      <c r="B47" s="1129" t="s">
        <v>1267</v>
      </c>
      <c r="C47" s="1130">
        <f aca="true" t="shared" si="5" ref="C47:C56">SUM(D47:I47)</f>
        <v>535923.15</v>
      </c>
      <c r="D47" s="1130">
        <v>0</v>
      </c>
      <c r="E47" s="1131">
        <v>0</v>
      </c>
      <c r="F47" s="1131">
        <v>0</v>
      </c>
      <c r="G47" s="1131">
        <v>0</v>
      </c>
      <c r="H47" s="1131">
        <v>195267.15</v>
      </c>
      <c r="I47" s="1131">
        <v>340656</v>
      </c>
      <c r="J47" s="1135"/>
    </row>
    <row r="48" spans="1:10" s="1124" customFormat="1" ht="66.75" customHeight="1">
      <c r="A48" s="1129">
        <v>2</v>
      </c>
      <c r="B48" s="1129" t="s">
        <v>1268</v>
      </c>
      <c r="C48" s="1130">
        <f t="shared" si="5"/>
        <v>713059.44</v>
      </c>
      <c r="D48" s="1130">
        <v>0</v>
      </c>
      <c r="E48" s="1131">
        <v>0</v>
      </c>
      <c r="F48" s="1131">
        <v>0</v>
      </c>
      <c r="G48" s="1131">
        <v>0</v>
      </c>
      <c r="H48" s="1131">
        <v>23435</v>
      </c>
      <c r="I48" s="1131">
        <v>689624.44</v>
      </c>
      <c r="J48" s="1135"/>
    </row>
    <row r="49" spans="1:10" s="1124" customFormat="1" ht="25.5" customHeight="1">
      <c r="A49" s="1129">
        <v>3</v>
      </c>
      <c r="B49" s="1129" t="s">
        <v>1269</v>
      </c>
      <c r="C49" s="1130">
        <f t="shared" si="5"/>
        <v>100000</v>
      </c>
      <c r="D49" s="1130">
        <v>0</v>
      </c>
      <c r="E49" s="1131">
        <v>0</v>
      </c>
      <c r="F49" s="1131">
        <v>0</v>
      </c>
      <c r="G49" s="1131">
        <v>0</v>
      </c>
      <c r="H49" s="1131">
        <v>100000</v>
      </c>
      <c r="I49" s="1131">
        <v>0</v>
      </c>
      <c r="J49" s="1135"/>
    </row>
    <row r="50" spans="1:10" s="1124" customFormat="1" ht="50.25" customHeight="1">
      <c r="A50" s="1129">
        <v>4</v>
      </c>
      <c r="B50" s="1129" t="s">
        <v>1270</v>
      </c>
      <c r="C50" s="1130">
        <f t="shared" si="5"/>
        <v>1200000</v>
      </c>
      <c r="D50" s="1130">
        <v>0</v>
      </c>
      <c r="E50" s="1131">
        <v>0</v>
      </c>
      <c r="F50" s="1131">
        <v>300000</v>
      </c>
      <c r="G50" s="1131">
        <v>0</v>
      </c>
      <c r="H50" s="1131">
        <v>900000</v>
      </c>
      <c r="I50" s="1131">
        <v>0</v>
      </c>
      <c r="J50" s="1135"/>
    </row>
    <row r="51" spans="1:10" s="1124" customFormat="1" ht="32.25" customHeight="1">
      <c r="A51" s="1129">
        <v>5</v>
      </c>
      <c r="B51" s="1129" t="s">
        <v>1271</v>
      </c>
      <c r="C51" s="1130">
        <f t="shared" si="5"/>
        <v>184860</v>
      </c>
      <c r="D51" s="1130">
        <v>0</v>
      </c>
      <c r="E51" s="1131">
        <v>0</v>
      </c>
      <c r="F51" s="1131">
        <v>0</v>
      </c>
      <c r="G51" s="1131">
        <v>0</v>
      </c>
      <c r="H51" s="1131">
        <v>184860</v>
      </c>
      <c r="I51" s="1131">
        <v>0</v>
      </c>
      <c r="J51" s="1135"/>
    </row>
    <row r="52" spans="1:10" s="1124" customFormat="1" ht="25.5" customHeight="1">
      <c r="A52" s="1129">
        <v>6</v>
      </c>
      <c r="B52" s="1129" t="s">
        <v>1272</v>
      </c>
      <c r="C52" s="1130">
        <f t="shared" si="5"/>
        <v>570000</v>
      </c>
      <c r="D52" s="1130">
        <v>0</v>
      </c>
      <c r="E52" s="1131">
        <v>0</v>
      </c>
      <c r="F52" s="1131">
        <v>0</v>
      </c>
      <c r="G52" s="1131">
        <v>0</v>
      </c>
      <c r="H52" s="1131">
        <v>570000</v>
      </c>
      <c r="I52" s="1131">
        <v>0</v>
      </c>
      <c r="J52" s="1135"/>
    </row>
    <row r="53" spans="1:10" s="1124" customFormat="1" ht="21.75" customHeight="1">
      <c r="A53" s="1129">
        <v>7</v>
      </c>
      <c r="B53" s="1129" t="s">
        <v>1273</v>
      </c>
      <c r="C53" s="1130">
        <f t="shared" si="5"/>
        <v>600000</v>
      </c>
      <c r="D53" s="1130">
        <v>0</v>
      </c>
      <c r="E53" s="1131">
        <v>0</v>
      </c>
      <c r="F53" s="1131">
        <v>0</v>
      </c>
      <c r="G53" s="1131">
        <v>0</v>
      </c>
      <c r="H53" s="1131">
        <v>100000</v>
      </c>
      <c r="I53" s="1131">
        <v>500000</v>
      </c>
      <c r="J53" s="1135"/>
    </row>
    <row r="54" spans="1:10" s="1124" customFormat="1" ht="26.25" customHeight="1">
      <c r="A54" s="1129">
        <v>8</v>
      </c>
      <c r="B54" s="1129" t="s">
        <v>1274</v>
      </c>
      <c r="C54" s="1130">
        <f t="shared" si="5"/>
        <v>80145</v>
      </c>
      <c r="D54" s="1130">
        <v>0</v>
      </c>
      <c r="E54" s="1131">
        <v>0</v>
      </c>
      <c r="F54" s="1131">
        <v>0</v>
      </c>
      <c r="G54" s="1131">
        <v>0</v>
      </c>
      <c r="H54" s="1131">
        <v>80145</v>
      </c>
      <c r="I54" s="1131">
        <v>0</v>
      </c>
      <c r="J54" s="1135"/>
    </row>
    <row r="55" spans="1:10" s="1124" customFormat="1" ht="60" customHeight="1">
      <c r="A55" s="1129">
        <v>9</v>
      </c>
      <c r="B55" s="1129" t="s">
        <v>1275</v>
      </c>
      <c r="C55" s="1130">
        <f t="shared" si="5"/>
        <v>108283.5</v>
      </c>
      <c r="D55" s="1130">
        <v>0</v>
      </c>
      <c r="E55" s="1131">
        <v>0</v>
      </c>
      <c r="F55" s="1131">
        <v>0</v>
      </c>
      <c r="G55" s="1131">
        <v>0</v>
      </c>
      <c r="H55" s="1131">
        <v>108283.5</v>
      </c>
      <c r="I55" s="1131">
        <v>0</v>
      </c>
      <c r="J55" s="1135"/>
    </row>
    <row r="56" spans="1:10" s="1124" customFormat="1" ht="45" customHeight="1">
      <c r="A56" s="1129">
        <v>10</v>
      </c>
      <c r="B56" s="1129" t="s">
        <v>1276</v>
      </c>
      <c r="C56" s="1130">
        <f t="shared" si="5"/>
        <v>35100</v>
      </c>
      <c r="D56" s="1130">
        <v>0</v>
      </c>
      <c r="E56" s="1131">
        <v>0</v>
      </c>
      <c r="F56" s="1131">
        <v>0</v>
      </c>
      <c r="G56" s="1131">
        <v>0</v>
      </c>
      <c r="H56" s="1131">
        <v>35100</v>
      </c>
      <c r="I56" s="1131">
        <v>0</v>
      </c>
      <c r="J56" s="1135"/>
    </row>
    <row r="57" spans="1:10" s="1124" customFormat="1" ht="24.75" customHeight="1">
      <c r="A57" s="1556" t="s">
        <v>1234</v>
      </c>
      <c r="B57" s="1556"/>
      <c r="C57" s="1136">
        <f aca="true" t="shared" si="6" ref="C57:I57">SUM(C47:C56)</f>
        <v>4127371.09</v>
      </c>
      <c r="D57" s="1136">
        <f t="shared" si="6"/>
        <v>0</v>
      </c>
      <c r="E57" s="1136">
        <f t="shared" si="6"/>
        <v>0</v>
      </c>
      <c r="F57" s="1136">
        <f t="shared" si="6"/>
        <v>300000</v>
      </c>
      <c r="G57" s="1136">
        <f t="shared" si="6"/>
        <v>0</v>
      </c>
      <c r="H57" s="1136">
        <f t="shared" si="6"/>
        <v>2297090.65</v>
      </c>
      <c r="I57" s="1136">
        <f t="shared" si="6"/>
        <v>1530280.44</v>
      </c>
      <c r="J57" s="1135"/>
    </row>
    <row r="58" spans="1:10" s="1124" customFormat="1" ht="22.5" customHeight="1">
      <c r="A58" s="1555" t="s">
        <v>1277</v>
      </c>
      <c r="B58" s="1555"/>
      <c r="C58" s="1555"/>
      <c r="D58" s="1555"/>
      <c r="E58" s="1555"/>
      <c r="F58" s="1555"/>
      <c r="G58" s="1555"/>
      <c r="H58" s="1555"/>
      <c r="I58" s="1555"/>
      <c r="J58" s="1555"/>
    </row>
    <row r="59" spans="1:10" s="1124" customFormat="1" ht="33" customHeight="1">
      <c r="A59" s="1129">
        <v>1</v>
      </c>
      <c r="B59" s="1129" t="s">
        <v>1278</v>
      </c>
      <c r="C59" s="1130">
        <f>SUM(D59:I59)</f>
        <v>400000</v>
      </c>
      <c r="D59" s="1130">
        <v>0</v>
      </c>
      <c r="E59" s="1131">
        <v>0</v>
      </c>
      <c r="F59" s="1131">
        <v>0</v>
      </c>
      <c r="G59" s="1131">
        <v>0</v>
      </c>
      <c r="H59" s="1131">
        <v>400000</v>
      </c>
      <c r="I59" s="1131">
        <v>0</v>
      </c>
      <c r="J59" s="1135"/>
    </row>
    <row r="60" spans="1:10" s="1124" customFormat="1" ht="33" customHeight="1">
      <c r="A60" s="1129">
        <v>2</v>
      </c>
      <c r="B60" s="1129" t="s">
        <v>1279</v>
      </c>
      <c r="C60" s="1130">
        <f>SUM(D60:I60)</f>
        <v>615000</v>
      </c>
      <c r="D60" s="1130">
        <v>0</v>
      </c>
      <c r="E60" s="1131">
        <v>0</v>
      </c>
      <c r="F60" s="1131">
        <v>0</v>
      </c>
      <c r="G60" s="1131">
        <v>0</v>
      </c>
      <c r="H60" s="1131">
        <v>615000</v>
      </c>
      <c r="I60" s="1131">
        <v>0</v>
      </c>
      <c r="J60" s="1135"/>
    </row>
    <row r="61" spans="1:10" s="1124" customFormat="1" ht="39.75" customHeight="1">
      <c r="A61" s="1129">
        <v>3</v>
      </c>
      <c r="B61" s="1129" t="s">
        <v>1280</v>
      </c>
      <c r="C61" s="1130">
        <f>SUM(D61:I61)</f>
        <v>500000</v>
      </c>
      <c r="D61" s="1130">
        <v>0</v>
      </c>
      <c r="E61" s="1131">
        <v>0</v>
      </c>
      <c r="F61" s="1131">
        <v>0</v>
      </c>
      <c r="G61" s="1131">
        <v>0</v>
      </c>
      <c r="H61" s="1131">
        <v>500000</v>
      </c>
      <c r="I61" s="1131">
        <v>0</v>
      </c>
      <c r="J61" s="1135"/>
    </row>
    <row r="62" spans="1:10" s="1124" customFormat="1" ht="67.5" customHeight="1">
      <c r="A62" s="1129">
        <v>4</v>
      </c>
      <c r="B62" s="1129" t="s">
        <v>1281</v>
      </c>
      <c r="C62" s="1130">
        <f>SUM(D62:I62)</f>
        <v>725000</v>
      </c>
      <c r="D62" s="1130">
        <v>0</v>
      </c>
      <c r="E62" s="1131">
        <v>0</v>
      </c>
      <c r="F62" s="1131">
        <v>0</v>
      </c>
      <c r="G62" s="1131">
        <v>0</v>
      </c>
      <c r="H62" s="1131">
        <v>725000</v>
      </c>
      <c r="I62" s="1131">
        <v>0</v>
      </c>
      <c r="J62" s="1135"/>
    </row>
    <row r="63" spans="1:10" s="1124" customFormat="1" ht="24.75" customHeight="1">
      <c r="A63" s="1556" t="s">
        <v>1234</v>
      </c>
      <c r="B63" s="1556"/>
      <c r="C63" s="1136">
        <f aca="true" t="shared" si="7" ref="C63:I63">SUM(C59:C62)</f>
        <v>2240000</v>
      </c>
      <c r="D63" s="1136">
        <f t="shared" si="7"/>
        <v>0</v>
      </c>
      <c r="E63" s="1136">
        <f t="shared" si="7"/>
        <v>0</v>
      </c>
      <c r="F63" s="1136">
        <f t="shared" si="7"/>
        <v>0</v>
      </c>
      <c r="G63" s="1136">
        <f t="shared" si="7"/>
        <v>0</v>
      </c>
      <c r="H63" s="1136">
        <f t="shared" si="7"/>
        <v>2240000</v>
      </c>
      <c r="I63" s="1136">
        <f t="shared" si="7"/>
        <v>0</v>
      </c>
      <c r="J63" s="1135"/>
    </row>
    <row r="64" spans="1:10" s="1124" customFormat="1" ht="22.5" customHeight="1">
      <c r="A64" s="1555" t="s">
        <v>1282</v>
      </c>
      <c r="B64" s="1555"/>
      <c r="C64" s="1555"/>
      <c r="D64" s="1555"/>
      <c r="E64" s="1555"/>
      <c r="F64" s="1555"/>
      <c r="G64" s="1555"/>
      <c r="H64" s="1555"/>
      <c r="I64" s="1555"/>
      <c r="J64" s="1555"/>
    </row>
    <row r="65" spans="1:10" s="1124" customFormat="1" ht="39.75" customHeight="1">
      <c r="A65" s="1129">
        <v>1</v>
      </c>
      <c r="B65" s="1129" t="s">
        <v>1283</v>
      </c>
      <c r="C65" s="1130">
        <f>SUM(D65:I65)</f>
        <v>190000</v>
      </c>
      <c r="D65" s="1130">
        <v>0</v>
      </c>
      <c r="E65" s="1131">
        <v>0</v>
      </c>
      <c r="F65" s="1131">
        <v>150000</v>
      </c>
      <c r="G65" s="1131">
        <v>0</v>
      </c>
      <c r="H65" s="1131">
        <v>0</v>
      </c>
      <c r="I65" s="1131">
        <v>40000</v>
      </c>
      <c r="J65" s="1135"/>
    </row>
    <row r="66" spans="1:10" s="1124" customFormat="1" ht="39.75" customHeight="1">
      <c r="A66" s="1129">
        <v>2</v>
      </c>
      <c r="B66" s="1129" t="s">
        <v>1284</v>
      </c>
      <c r="C66" s="1130">
        <f>SUM(D66:I66)</f>
        <v>108000</v>
      </c>
      <c r="D66" s="1130">
        <v>0</v>
      </c>
      <c r="E66" s="1131">
        <v>0</v>
      </c>
      <c r="F66" s="1131">
        <v>108000</v>
      </c>
      <c r="G66" s="1131">
        <v>0</v>
      </c>
      <c r="H66" s="1131">
        <v>0</v>
      </c>
      <c r="I66" s="1131">
        <v>0</v>
      </c>
      <c r="J66" s="1135"/>
    </row>
    <row r="67" spans="1:10" s="1124" customFormat="1" ht="24.75" customHeight="1">
      <c r="A67" s="1556" t="s">
        <v>1234</v>
      </c>
      <c r="B67" s="1556"/>
      <c r="C67" s="1136">
        <f aca="true" t="shared" si="8" ref="C67:I67">SUM(C65:C66)</f>
        <v>298000</v>
      </c>
      <c r="D67" s="1136">
        <f t="shared" si="8"/>
        <v>0</v>
      </c>
      <c r="E67" s="1136">
        <f t="shared" si="8"/>
        <v>0</v>
      </c>
      <c r="F67" s="1136">
        <f t="shared" si="8"/>
        <v>258000</v>
      </c>
      <c r="G67" s="1136">
        <f t="shared" si="8"/>
        <v>0</v>
      </c>
      <c r="H67" s="1136">
        <f t="shared" si="8"/>
        <v>0</v>
      </c>
      <c r="I67" s="1136">
        <f t="shared" si="8"/>
        <v>40000</v>
      </c>
      <c r="J67" s="1135"/>
    </row>
    <row r="68" spans="1:10" s="1124" customFormat="1" ht="22.5" customHeight="1">
      <c r="A68" s="1555" t="s">
        <v>1285</v>
      </c>
      <c r="B68" s="1555"/>
      <c r="C68" s="1555"/>
      <c r="D68" s="1555"/>
      <c r="E68" s="1555"/>
      <c r="F68" s="1555"/>
      <c r="G68" s="1555"/>
      <c r="H68" s="1555"/>
      <c r="I68" s="1555"/>
      <c r="J68" s="1555"/>
    </row>
    <row r="69" spans="1:10" s="1124" customFormat="1" ht="27.75" customHeight="1">
      <c r="A69" s="1129">
        <v>1</v>
      </c>
      <c r="B69" s="1129" t="s">
        <v>1286</v>
      </c>
      <c r="C69" s="1130">
        <f aca="true" t="shared" si="9" ref="C69:C84">SUM(D69:I69)</f>
        <v>3000000</v>
      </c>
      <c r="D69" s="1130">
        <v>0</v>
      </c>
      <c r="E69" s="1131">
        <v>0</v>
      </c>
      <c r="F69" s="1131">
        <v>3000000</v>
      </c>
      <c r="G69" s="1131">
        <v>0</v>
      </c>
      <c r="H69" s="1131">
        <v>0</v>
      </c>
      <c r="I69" s="1131">
        <v>0</v>
      </c>
      <c r="J69" s="1129" t="s">
        <v>1239</v>
      </c>
    </row>
    <row r="70" spans="1:10" s="1124" customFormat="1" ht="25.5" customHeight="1">
      <c r="A70" s="1129">
        <v>2</v>
      </c>
      <c r="B70" s="1129" t="s">
        <v>1287</v>
      </c>
      <c r="C70" s="1130">
        <f t="shared" si="9"/>
        <v>20000</v>
      </c>
      <c r="D70" s="1130">
        <v>0</v>
      </c>
      <c r="E70" s="1131">
        <v>0</v>
      </c>
      <c r="F70" s="1131">
        <v>20000</v>
      </c>
      <c r="G70" s="1131">
        <v>0</v>
      </c>
      <c r="H70" s="1131">
        <v>0</v>
      </c>
      <c r="I70" s="1131">
        <v>0</v>
      </c>
      <c r="J70" s="1135"/>
    </row>
    <row r="71" spans="1:10" s="1124" customFormat="1" ht="23.25" customHeight="1">
      <c r="A71" s="1129">
        <v>3</v>
      </c>
      <c r="B71" s="1129" t="s">
        <v>1288</v>
      </c>
      <c r="C71" s="1130">
        <f t="shared" si="9"/>
        <v>500000</v>
      </c>
      <c r="D71" s="1130">
        <v>0</v>
      </c>
      <c r="E71" s="1131">
        <v>0</v>
      </c>
      <c r="F71" s="1131">
        <v>500000</v>
      </c>
      <c r="G71" s="1131">
        <v>0</v>
      </c>
      <c r="H71" s="1131">
        <v>0</v>
      </c>
      <c r="I71" s="1131">
        <v>0</v>
      </c>
      <c r="J71" s="1129" t="s">
        <v>1239</v>
      </c>
    </row>
    <row r="72" spans="1:10" s="1124" customFormat="1" ht="25.5" customHeight="1">
      <c r="A72" s="1129">
        <v>4</v>
      </c>
      <c r="B72" s="1129" t="s">
        <v>1289</v>
      </c>
      <c r="C72" s="1130">
        <f t="shared" si="9"/>
        <v>243817.56</v>
      </c>
      <c r="D72" s="1130">
        <v>0</v>
      </c>
      <c r="E72" s="1131">
        <v>0</v>
      </c>
      <c r="F72" s="1131">
        <v>243817.56</v>
      </c>
      <c r="G72" s="1131">
        <v>0</v>
      </c>
      <c r="H72" s="1131">
        <v>0</v>
      </c>
      <c r="I72" s="1131">
        <v>0</v>
      </c>
      <c r="J72" s="1135"/>
    </row>
    <row r="73" spans="1:10" s="1124" customFormat="1" ht="51" customHeight="1">
      <c r="A73" s="1129">
        <v>5</v>
      </c>
      <c r="B73" s="1129" t="s">
        <v>1290</v>
      </c>
      <c r="C73" s="1130">
        <f t="shared" si="9"/>
        <v>350000</v>
      </c>
      <c r="D73" s="1130">
        <v>0</v>
      </c>
      <c r="E73" s="1131">
        <v>0</v>
      </c>
      <c r="F73" s="1131">
        <v>0</v>
      </c>
      <c r="G73" s="1131">
        <v>0</v>
      </c>
      <c r="H73" s="1131">
        <v>350000</v>
      </c>
      <c r="I73" s="1131">
        <v>0</v>
      </c>
      <c r="J73" s="1135"/>
    </row>
    <row r="74" spans="1:10" s="1124" customFormat="1" ht="26.25" customHeight="1">
      <c r="A74" s="1129">
        <v>6</v>
      </c>
      <c r="B74" s="1129" t="s">
        <v>1291</v>
      </c>
      <c r="C74" s="1130">
        <f t="shared" si="9"/>
        <v>42650</v>
      </c>
      <c r="D74" s="1130">
        <v>0</v>
      </c>
      <c r="E74" s="1131">
        <v>0</v>
      </c>
      <c r="F74" s="1131">
        <v>42650</v>
      </c>
      <c r="G74" s="1131">
        <v>0</v>
      </c>
      <c r="H74" s="1131">
        <v>0</v>
      </c>
      <c r="I74" s="1131">
        <v>0</v>
      </c>
      <c r="J74" s="1135"/>
    </row>
    <row r="75" spans="1:10" s="1124" customFormat="1" ht="39.75" customHeight="1">
      <c r="A75" s="1129">
        <v>7</v>
      </c>
      <c r="B75" s="1129" t="s">
        <v>828</v>
      </c>
      <c r="C75" s="1130">
        <f t="shared" si="9"/>
        <v>50000</v>
      </c>
      <c r="D75" s="1130">
        <v>0</v>
      </c>
      <c r="E75" s="1131">
        <v>0</v>
      </c>
      <c r="F75" s="1131">
        <v>50000</v>
      </c>
      <c r="G75" s="1131">
        <v>0</v>
      </c>
      <c r="H75" s="1131">
        <v>0</v>
      </c>
      <c r="I75" s="1131">
        <v>0</v>
      </c>
      <c r="J75" s="1135"/>
    </row>
    <row r="76" spans="1:10" s="1124" customFormat="1" ht="18.75" customHeight="1">
      <c r="A76" s="1129">
        <v>8</v>
      </c>
      <c r="B76" s="1129" t="s">
        <v>1292</v>
      </c>
      <c r="C76" s="1130">
        <f t="shared" si="9"/>
        <v>1250000</v>
      </c>
      <c r="D76" s="1130">
        <v>0</v>
      </c>
      <c r="E76" s="1131">
        <v>0</v>
      </c>
      <c r="F76" s="1131">
        <v>0</v>
      </c>
      <c r="G76" s="1131">
        <v>0</v>
      </c>
      <c r="H76" s="1131">
        <v>250000</v>
      </c>
      <c r="I76" s="1131">
        <v>1000000</v>
      </c>
      <c r="J76" s="1135"/>
    </row>
    <row r="77" spans="1:10" s="1124" customFormat="1" ht="51" customHeight="1">
      <c r="A77" s="1129">
        <v>9</v>
      </c>
      <c r="B77" s="1138" t="s">
        <v>1293</v>
      </c>
      <c r="C77" s="1130">
        <f t="shared" si="9"/>
        <v>32656.12</v>
      </c>
      <c r="D77" s="1130">
        <v>0</v>
      </c>
      <c r="E77" s="1131">
        <v>0</v>
      </c>
      <c r="F77" s="1131">
        <v>0</v>
      </c>
      <c r="G77" s="1131">
        <v>0</v>
      </c>
      <c r="H77" s="1131">
        <v>32656.12</v>
      </c>
      <c r="I77" s="1131">
        <v>0</v>
      </c>
      <c r="J77" s="1135"/>
    </row>
    <row r="78" spans="1:10" s="1124" customFormat="1" ht="19.5">
      <c r="A78" s="1129">
        <v>10</v>
      </c>
      <c r="B78" s="1129" t="s">
        <v>1294</v>
      </c>
      <c r="C78" s="1130">
        <f t="shared" si="9"/>
        <v>3273.34</v>
      </c>
      <c r="D78" s="1130">
        <v>0</v>
      </c>
      <c r="E78" s="1131">
        <v>0</v>
      </c>
      <c r="F78" s="1131">
        <v>3273.34</v>
      </c>
      <c r="G78" s="1131">
        <v>0</v>
      </c>
      <c r="H78" s="1131">
        <v>0</v>
      </c>
      <c r="I78" s="1131">
        <v>0</v>
      </c>
      <c r="J78" s="1135"/>
    </row>
    <row r="79" spans="1:10" s="1124" customFormat="1" ht="25.5" customHeight="1">
      <c r="A79" s="1129">
        <v>11</v>
      </c>
      <c r="B79" s="1129" t="s">
        <v>1295</v>
      </c>
      <c r="C79" s="1130">
        <f t="shared" si="9"/>
        <v>800000</v>
      </c>
      <c r="D79" s="1130">
        <v>0</v>
      </c>
      <c r="E79" s="1131">
        <v>0</v>
      </c>
      <c r="F79" s="1131">
        <v>800000</v>
      </c>
      <c r="G79" s="1131">
        <v>0</v>
      </c>
      <c r="H79" s="1131">
        <v>0</v>
      </c>
      <c r="I79" s="1131">
        <v>0</v>
      </c>
      <c r="J79" s="1135"/>
    </row>
    <row r="80" spans="1:10" s="1124" customFormat="1" ht="19.5">
      <c r="A80" s="1129">
        <v>12</v>
      </c>
      <c r="B80" s="1129" t="s">
        <v>1296</v>
      </c>
      <c r="C80" s="1130">
        <f t="shared" si="9"/>
        <v>410000</v>
      </c>
      <c r="D80" s="1130">
        <v>0</v>
      </c>
      <c r="E80" s="1131">
        <v>0</v>
      </c>
      <c r="F80" s="1131">
        <v>0</v>
      </c>
      <c r="G80" s="1131">
        <v>0</v>
      </c>
      <c r="H80" s="1131">
        <v>0</v>
      </c>
      <c r="I80" s="1131">
        <v>410000</v>
      </c>
      <c r="J80" s="1135"/>
    </row>
    <row r="81" spans="1:10" s="1124" customFormat="1" ht="22.5" customHeight="1">
      <c r="A81" s="1129">
        <v>13</v>
      </c>
      <c r="B81" s="1129" t="s">
        <v>694</v>
      </c>
      <c r="C81" s="1130">
        <f t="shared" si="9"/>
        <v>20000</v>
      </c>
      <c r="D81" s="1130">
        <v>0</v>
      </c>
      <c r="E81" s="1131">
        <v>0</v>
      </c>
      <c r="F81" s="1131">
        <v>0</v>
      </c>
      <c r="G81" s="1131">
        <v>0</v>
      </c>
      <c r="H81" s="1131">
        <v>20000</v>
      </c>
      <c r="I81" s="1131">
        <v>0</v>
      </c>
      <c r="J81" s="1135"/>
    </row>
    <row r="82" spans="1:10" s="1124" customFormat="1" ht="27.75" customHeight="1">
      <c r="A82" s="1129">
        <v>14</v>
      </c>
      <c r="B82" s="1129" t="s">
        <v>1297</v>
      </c>
      <c r="C82" s="1130">
        <f t="shared" si="9"/>
        <v>440000</v>
      </c>
      <c r="D82" s="1130">
        <v>0</v>
      </c>
      <c r="E82" s="1131">
        <v>0</v>
      </c>
      <c r="F82" s="1131">
        <v>0</v>
      </c>
      <c r="G82" s="1131">
        <v>0</v>
      </c>
      <c r="H82" s="1131">
        <v>440000</v>
      </c>
      <c r="I82" s="1131">
        <v>0</v>
      </c>
      <c r="J82" s="1135"/>
    </row>
    <row r="83" spans="1:10" s="1124" customFormat="1" ht="24.75" customHeight="1">
      <c r="A83" s="1129">
        <v>15</v>
      </c>
      <c r="B83" s="1129" t="s">
        <v>1298</v>
      </c>
      <c r="C83" s="1130">
        <f t="shared" si="9"/>
        <v>11556</v>
      </c>
      <c r="D83" s="1130">
        <v>0</v>
      </c>
      <c r="E83" s="1131">
        <v>0</v>
      </c>
      <c r="F83" s="1131">
        <v>0</v>
      </c>
      <c r="G83" s="1131">
        <v>0</v>
      </c>
      <c r="H83" s="1131">
        <v>0</v>
      </c>
      <c r="I83" s="1131">
        <v>11556</v>
      </c>
      <c r="J83" s="1135"/>
    </row>
    <row r="84" spans="1:10" s="1124" customFormat="1" ht="26.25" customHeight="1">
      <c r="A84" s="1129">
        <v>16</v>
      </c>
      <c r="B84" s="1129" t="s">
        <v>1299</v>
      </c>
      <c r="C84" s="1130">
        <f t="shared" si="9"/>
        <v>300000</v>
      </c>
      <c r="D84" s="1130">
        <v>0</v>
      </c>
      <c r="E84" s="1131">
        <v>0</v>
      </c>
      <c r="F84" s="1131">
        <v>0</v>
      </c>
      <c r="G84" s="1131">
        <v>0</v>
      </c>
      <c r="H84" s="1131">
        <v>300000</v>
      </c>
      <c r="I84" s="1131">
        <v>0</v>
      </c>
      <c r="J84" s="1135"/>
    </row>
    <row r="85" spans="1:10" s="1124" customFormat="1" ht="20.25" customHeight="1">
      <c r="A85" s="1556" t="s">
        <v>1234</v>
      </c>
      <c r="B85" s="1556"/>
      <c r="C85" s="1136">
        <f aca="true" t="shared" si="10" ref="C85:I85">SUM(C69:C84)</f>
        <v>7473953.0200000005</v>
      </c>
      <c r="D85" s="1136">
        <f t="shared" si="10"/>
        <v>0</v>
      </c>
      <c r="E85" s="1136">
        <f t="shared" si="10"/>
        <v>0</v>
      </c>
      <c r="F85" s="1136">
        <f t="shared" si="10"/>
        <v>4659740.9</v>
      </c>
      <c r="G85" s="1136">
        <f t="shared" si="10"/>
        <v>0</v>
      </c>
      <c r="H85" s="1136">
        <f t="shared" si="10"/>
        <v>1392656.12</v>
      </c>
      <c r="I85" s="1136">
        <f t="shared" si="10"/>
        <v>1421556</v>
      </c>
      <c r="J85" s="1135"/>
    </row>
    <row r="86" spans="1:10" s="1124" customFormat="1" ht="39.75" customHeight="1" hidden="1">
      <c r="A86" s="1558" t="s">
        <v>1300</v>
      </c>
      <c r="B86" s="1558"/>
      <c r="C86" s="1558"/>
      <c r="D86" s="1125"/>
      <c r="E86" s="1135"/>
      <c r="F86" s="1135"/>
      <c r="G86" s="1135"/>
      <c r="H86" s="1135"/>
      <c r="I86" s="1135"/>
      <c r="J86" s="1135"/>
    </row>
    <row r="87" spans="1:10" s="1124" customFormat="1" ht="30" customHeight="1" hidden="1">
      <c r="A87" s="1129">
        <v>1</v>
      </c>
      <c r="B87" s="1139" t="s">
        <v>808</v>
      </c>
      <c r="C87" s="1130" t="e">
        <f>SUM(#REF!)</f>
        <v>#REF!</v>
      </c>
      <c r="D87" s="1130"/>
      <c r="E87" s="1135"/>
      <c r="F87" s="1135"/>
      <c r="G87" s="1135"/>
      <c r="H87" s="1135"/>
      <c r="I87" s="1135"/>
      <c r="J87" s="1135"/>
    </row>
    <row r="88" spans="1:10" s="1124" customFormat="1" ht="47.25" customHeight="1" hidden="1">
      <c r="A88" s="1129">
        <v>2</v>
      </c>
      <c r="B88" s="1139" t="s">
        <v>1301</v>
      </c>
      <c r="C88" s="1130" t="e">
        <f>SUM(#REF!)</f>
        <v>#REF!</v>
      </c>
      <c r="D88" s="1130"/>
      <c r="E88" s="1135"/>
      <c r="F88" s="1135"/>
      <c r="G88" s="1135"/>
      <c r="H88" s="1135"/>
      <c r="I88" s="1135"/>
      <c r="J88" s="1135"/>
    </row>
    <row r="89" spans="1:10" s="1124" customFormat="1" ht="23.25" customHeight="1" hidden="1">
      <c r="A89" s="1556" t="s">
        <v>1302</v>
      </c>
      <c r="B89" s="1556"/>
      <c r="C89" s="1136" t="e">
        <f>SUM(C87:C88)</f>
        <v>#REF!</v>
      </c>
      <c r="D89" s="1136"/>
      <c r="E89" s="1131"/>
      <c r="F89" s="1131"/>
      <c r="G89" s="1135"/>
      <c r="H89" s="1135"/>
      <c r="I89" s="1135"/>
      <c r="J89" s="1135"/>
    </row>
    <row r="90" spans="1:10" s="1124" customFormat="1" ht="39" customHeight="1">
      <c r="A90" s="1556" t="s">
        <v>1303</v>
      </c>
      <c r="B90" s="1556"/>
      <c r="C90" s="1136">
        <f>C14+C40+C45+C57+C63+C67+C85</f>
        <v>24772319.43</v>
      </c>
      <c r="D90" s="1136">
        <f aca="true" t="shared" si="11" ref="D90:I90">D14+D40+D45+D57+D67+D85+D89</f>
        <v>0</v>
      </c>
      <c r="E90" s="1136">
        <f t="shared" si="11"/>
        <v>908554.36</v>
      </c>
      <c r="F90" s="1136">
        <f t="shared" si="11"/>
        <v>12539259.93</v>
      </c>
      <c r="G90" s="1136">
        <f t="shared" si="11"/>
        <v>0</v>
      </c>
      <c r="H90" s="1136">
        <f>H14+H40+H45+H57+H63+H67+H85</f>
        <v>7677861.76</v>
      </c>
      <c r="I90" s="1136">
        <f t="shared" si="11"/>
        <v>3646643.38</v>
      </c>
      <c r="J90" s="1135"/>
    </row>
    <row r="91" spans="1:10" s="1124" customFormat="1" ht="43.5" customHeight="1">
      <c r="A91" s="1125" t="s">
        <v>1213</v>
      </c>
      <c r="B91" s="1125" t="s">
        <v>1214</v>
      </c>
      <c r="C91" s="1125" t="s">
        <v>1215</v>
      </c>
      <c r="D91" s="1125">
        <v>201</v>
      </c>
      <c r="E91" s="1126" t="s">
        <v>6</v>
      </c>
      <c r="F91" s="1127" t="s">
        <v>1307</v>
      </c>
      <c r="G91" s="1126" t="s">
        <v>1307</v>
      </c>
      <c r="H91" s="1126" t="s">
        <v>7</v>
      </c>
      <c r="I91" s="1126" t="s">
        <v>1308</v>
      </c>
      <c r="J91" s="1126" t="s">
        <v>1216</v>
      </c>
    </row>
    <row r="92" spans="1:10" s="1124" customFormat="1" ht="13.5" customHeight="1">
      <c r="A92" s="1126" t="s">
        <v>1217</v>
      </c>
      <c r="B92" s="1126" t="s">
        <v>1218</v>
      </c>
      <c r="C92" s="1126" t="s">
        <v>1219</v>
      </c>
      <c r="D92" s="1126" t="s">
        <v>1220</v>
      </c>
      <c r="E92" s="1126" t="s">
        <v>1221</v>
      </c>
      <c r="F92" s="1126" t="s">
        <v>1222</v>
      </c>
      <c r="G92" s="1126" t="s">
        <v>1223</v>
      </c>
      <c r="H92" s="1126" t="s">
        <v>1224</v>
      </c>
      <c r="I92" s="1126" t="s">
        <v>1225</v>
      </c>
      <c r="J92" s="1126" t="s">
        <v>399</v>
      </c>
    </row>
    <row r="93" spans="1:10" s="1124" customFormat="1" ht="27" customHeight="1">
      <c r="A93" s="1555" t="s">
        <v>1311</v>
      </c>
      <c r="B93" s="1555"/>
      <c r="C93" s="1555"/>
      <c r="D93" s="1555"/>
      <c r="E93" s="1555"/>
      <c r="F93" s="1555"/>
      <c r="G93" s="1555"/>
      <c r="H93" s="1555"/>
      <c r="I93" s="1555"/>
      <c r="J93" s="1555"/>
    </row>
    <row r="94" spans="1:10" s="1124" customFormat="1" ht="39" customHeight="1">
      <c r="A94" s="1128" t="s">
        <v>1217</v>
      </c>
      <c r="B94" s="1129" t="s">
        <v>999</v>
      </c>
      <c r="C94" s="1130">
        <f>SUM(D94:I94)</f>
        <v>157000</v>
      </c>
      <c r="D94" s="1130">
        <v>0</v>
      </c>
      <c r="E94" s="1130">
        <v>0</v>
      </c>
      <c r="F94" s="1130">
        <v>0</v>
      </c>
      <c r="G94" s="1130">
        <v>0</v>
      </c>
      <c r="H94" s="1130">
        <v>0</v>
      </c>
      <c r="I94" s="1131">
        <v>157000</v>
      </c>
      <c r="J94" s="1132"/>
    </row>
    <row r="95" spans="1:10" s="1124" customFormat="1" ht="39" customHeight="1">
      <c r="A95" s="1559" t="s">
        <v>1226</v>
      </c>
      <c r="B95" s="1559"/>
      <c r="C95" s="1133">
        <f aca="true" t="shared" si="12" ref="C95:I95">C94</f>
        <v>157000</v>
      </c>
      <c r="D95" s="1133">
        <f t="shared" si="12"/>
        <v>0</v>
      </c>
      <c r="E95" s="1133">
        <f t="shared" si="12"/>
        <v>0</v>
      </c>
      <c r="F95" s="1133">
        <f t="shared" si="12"/>
        <v>0</v>
      </c>
      <c r="G95" s="1133">
        <f t="shared" si="12"/>
        <v>0</v>
      </c>
      <c r="H95" s="1133">
        <f t="shared" si="12"/>
        <v>0</v>
      </c>
      <c r="I95" s="1133">
        <f t="shared" si="12"/>
        <v>157000</v>
      </c>
      <c r="J95" s="1132"/>
    </row>
    <row r="96" spans="1:10" s="1124" customFormat="1" ht="49.5" customHeight="1">
      <c r="A96" s="1125" t="s">
        <v>1213</v>
      </c>
      <c r="B96" s="1125" t="s">
        <v>1214</v>
      </c>
      <c r="C96" s="1125" t="s">
        <v>1215</v>
      </c>
      <c r="D96" s="1125">
        <v>401</v>
      </c>
      <c r="E96" s="1126" t="s">
        <v>1307</v>
      </c>
      <c r="F96" s="1127" t="s">
        <v>1307</v>
      </c>
      <c r="G96" s="1126" t="s">
        <v>1307</v>
      </c>
      <c r="H96" s="1126" t="s">
        <v>598</v>
      </c>
      <c r="I96" s="1126" t="s">
        <v>1308</v>
      </c>
      <c r="J96" s="1126" t="s">
        <v>1216</v>
      </c>
    </row>
    <row r="97" spans="1:10" s="1124" customFormat="1" ht="15" customHeight="1">
      <c r="A97" s="1126" t="s">
        <v>1217</v>
      </c>
      <c r="B97" s="1126" t="s">
        <v>1218</v>
      </c>
      <c r="C97" s="1126" t="s">
        <v>1219</v>
      </c>
      <c r="D97" s="1126" t="s">
        <v>1220</v>
      </c>
      <c r="E97" s="1126" t="s">
        <v>1221</v>
      </c>
      <c r="F97" s="1126" t="s">
        <v>1222</v>
      </c>
      <c r="G97" s="1126" t="s">
        <v>1223</v>
      </c>
      <c r="H97" s="1126" t="s">
        <v>1224</v>
      </c>
      <c r="I97" s="1126" t="s">
        <v>1225</v>
      </c>
      <c r="J97" s="1126" t="s">
        <v>399</v>
      </c>
    </row>
    <row r="98" spans="1:10" s="1124" customFormat="1" ht="26.25" customHeight="1">
      <c r="A98" s="1555" t="s">
        <v>1312</v>
      </c>
      <c r="B98" s="1555"/>
      <c r="C98" s="1555"/>
      <c r="D98" s="1555"/>
      <c r="E98" s="1555"/>
      <c r="F98" s="1555"/>
      <c r="G98" s="1555"/>
      <c r="H98" s="1555"/>
      <c r="I98" s="1555"/>
      <c r="J98" s="1555"/>
    </row>
    <row r="99" spans="1:10" s="1124" customFormat="1" ht="39" customHeight="1">
      <c r="A99" s="1132" t="s">
        <v>1217</v>
      </c>
      <c r="B99" s="1129" t="s">
        <v>1197</v>
      </c>
      <c r="C99" s="1130">
        <f>SUM(D99:I99)</f>
        <v>70000</v>
      </c>
      <c r="D99" s="1134">
        <v>70000</v>
      </c>
      <c r="E99" s="1131">
        <v>0</v>
      </c>
      <c r="F99" s="1131">
        <v>0</v>
      </c>
      <c r="G99" s="1131">
        <v>0</v>
      </c>
      <c r="H99" s="1131">
        <v>0</v>
      </c>
      <c r="I99" s="1131">
        <v>0</v>
      </c>
      <c r="J99" s="1132"/>
    </row>
    <row r="100" spans="1:10" s="1124" customFormat="1" ht="43.5" customHeight="1">
      <c r="A100" s="1132" t="s">
        <v>1218</v>
      </c>
      <c r="B100" s="1129" t="s">
        <v>851</v>
      </c>
      <c r="C100" s="1130">
        <f>SUM(D100:I100)</f>
        <v>147422.36</v>
      </c>
      <c r="D100" s="1131">
        <v>122422.36</v>
      </c>
      <c r="E100" s="1131">
        <v>0</v>
      </c>
      <c r="F100" s="1131">
        <v>0</v>
      </c>
      <c r="G100" s="1131">
        <v>0</v>
      </c>
      <c r="H100" s="1131">
        <v>0</v>
      </c>
      <c r="I100" s="1131">
        <v>25000</v>
      </c>
      <c r="J100" s="1132"/>
    </row>
    <row r="101" spans="1:10" s="1124" customFormat="1" ht="39" customHeight="1">
      <c r="A101" s="1132" t="s">
        <v>1219</v>
      </c>
      <c r="B101" s="1129" t="s">
        <v>936</v>
      </c>
      <c r="C101" s="1130">
        <f>SUM(D101:I101)</f>
        <v>650000</v>
      </c>
      <c r="D101" s="1131">
        <v>0</v>
      </c>
      <c r="E101" s="1131">
        <v>0</v>
      </c>
      <c r="F101" s="1131">
        <v>0</v>
      </c>
      <c r="G101" s="1131">
        <v>0</v>
      </c>
      <c r="H101" s="1131">
        <v>650000</v>
      </c>
      <c r="I101" s="1131">
        <v>0</v>
      </c>
      <c r="J101" s="1132"/>
    </row>
    <row r="102" spans="1:10" s="1124" customFormat="1" ht="39" customHeight="1">
      <c r="A102" s="1132" t="s">
        <v>1220</v>
      </c>
      <c r="B102" s="1129" t="s">
        <v>773</v>
      </c>
      <c r="C102" s="1130">
        <f>SUM(D102:I102)</f>
        <v>252644.59999999998</v>
      </c>
      <c r="D102" s="1131">
        <v>0</v>
      </c>
      <c r="E102" s="1131">
        <v>0</v>
      </c>
      <c r="F102" s="1131">
        <v>0</v>
      </c>
      <c r="G102" s="1131">
        <v>0</v>
      </c>
      <c r="H102" s="1131">
        <v>181181.43</v>
      </c>
      <c r="I102" s="1131">
        <v>71463.17</v>
      </c>
      <c r="J102" s="1132"/>
    </row>
    <row r="103" spans="1:10" s="1124" customFormat="1" ht="39" customHeight="1">
      <c r="A103" s="1559" t="s">
        <v>1227</v>
      </c>
      <c r="B103" s="1559"/>
      <c r="C103" s="1133">
        <f aca="true" t="shared" si="13" ref="C103:I103">SUM(C99:C102)</f>
        <v>1120066.96</v>
      </c>
      <c r="D103" s="1133">
        <f t="shared" si="13"/>
        <v>192422.36</v>
      </c>
      <c r="E103" s="1133">
        <f t="shared" si="13"/>
        <v>0</v>
      </c>
      <c r="F103" s="1133">
        <f t="shared" si="13"/>
        <v>0</v>
      </c>
      <c r="G103" s="1133">
        <f t="shared" si="13"/>
        <v>0</v>
      </c>
      <c r="H103" s="1133">
        <f t="shared" si="13"/>
        <v>831181.4299999999</v>
      </c>
      <c r="I103" s="1133">
        <f t="shared" si="13"/>
        <v>96463.17</v>
      </c>
      <c r="J103" s="1132"/>
    </row>
    <row r="104" spans="1:10" s="1124" customFormat="1" ht="53.25" customHeight="1">
      <c r="A104" s="1125" t="s">
        <v>1213</v>
      </c>
      <c r="B104" s="1125" t="s">
        <v>1214</v>
      </c>
      <c r="C104" s="1125" t="s">
        <v>1215</v>
      </c>
      <c r="D104" s="1125">
        <v>801</v>
      </c>
      <c r="E104" s="1126" t="s">
        <v>1178</v>
      </c>
      <c r="F104" s="1127" t="s">
        <v>1307</v>
      </c>
      <c r="G104" s="1126" t="s">
        <v>1307</v>
      </c>
      <c r="H104" s="1126" t="s">
        <v>1307</v>
      </c>
      <c r="I104" s="1126" t="s">
        <v>1308</v>
      </c>
      <c r="J104" s="1126" t="s">
        <v>1216</v>
      </c>
    </row>
    <row r="105" spans="1:10" s="1124" customFormat="1" ht="14.25" customHeight="1">
      <c r="A105" s="1126" t="s">
        <v>1217</v>
      </c>
      <c r="B105" s="1126" t="s">
        <v>1218</v>
      </c>
      <c r="C105" s="1126" t="s">
        <v>1219</v>
      </c>
      <c r="D105" s="1126" t="s">
        <v>1220</v>
      </c>
      <c r="E105" s="1126" t="s">
        <v>1221</v>
      </c>
      <c r="F105" s="1126" t="s">
        <v>1222</v>
      </c>
      <c r="G105" s="1126" t="s">
        <v>1223</v>
      </c>
      <c r="H105" s="1126" t="s">
        <v>1224</v>
      </c>
      <c r="I105" s="1126" t="s">
        <v>1225</v>
      </c>
      <c r="J105" s="1126" t="s">
        <v>399</v>
      </c>
    </row>
    <row r="106" spans="1:10" s="1124" customFormat="1" ht="23.25" customHeight="1">
      <c r="A106" s="1555" t="s">
        <v>1313</v>
      </c>
      <c r="B106" s="1555"/>
      <c r="C106" s="1555"/>
      <c r="D106" s="1555"/>
      <c r="E106" s="1555"/>
      <c r="F106" s="1555"/>
      <c r="G106" s="1555"/>
      <c r="H106" s="1555"/>
      <c r="I106" s="1555"/>
      <c r="J106" s="1555"/>
    </row>
    <row r="107" spans="1:10" s="1124" customFormat="1" ht="18.75" customHeight="1">
      <c r="A107" s="1135">
        <v>1</v>
      </c>
      <c r="B107" s="1135" t="s">
        <v>827</v>
      </c>
      <c r="C107" s="1130">
        <f>SUM(D107:I107)</f>
        <v>290500</v>
      </c>
      <c r="D107" s="1134">
        <v>0</v>
      </c>
      <c r="E107" s="1134">
        <v>290500</v>
      </c>
      <c r="F107" s="1134">
        <v>0</v>
      </c>
      <c r="G107" s="1134">
        <v>0</v>
      </c>
      <c r="H107" s="1134">
        <v>0</v>
      </c>
      <c r="I107" s="1134">
        <v>0</v>
      </c>
      <c r="J107" s="1135"/>
    </row>
    <row r="108" spans="1:10" s="1124" customFormat="1" ht="41.25" customHeight="1">
      <c r="A108" s="1556" t="s">
        <v>1304</v>
      </c>
      <c r="B108" s="1556"/>
      <c r="C108" s="1140">
        <f aca="true" t="shared" si="14" ref="C108:I108">C107</f>
        <v>290500</v>
      </c>
      <c r="D108" s="1140">
        <f t="shared" si="14"/>
        <v>0</v>
      </c>
      <c r="E108" s="1140">
        <f t="shared" si="14"/>
        <v>290500</v>
      </c>
      <c r="F108" s="1140">
        <f t="shared" si="14"/>
        <v>0</v>
      </c>
      <c r="G108" s="1140">
        <f t="shared" si="14"/>
        <v>0</v>
      </c>
      <c r="H108" s="1140">
        <f t="shared" si="14"/>
        <v>0</v>
      </c>
      <c r="I108" s="1140">
        <f t="shared" si="14"/>
        <v>0</v>
      </c>
      <c r="J108" s="1135"/>
    </row>
    <row r="109" spans="1:10" s="1124" customFormat="1" ht="47.25" customHeight="1">
      <c r="A109" s="1125" t="s">
        <v>1213</v>
      </c>
      <c r="B109" s="1125" t="s">
        <v>1214</v>
      </c>
      <c r="C109" s="1125" t="s">
        <v>1215</v>
      </c>
      <c r="D109" s="1125">
        <v>1201</v>
      </c>
      <c r="E109" s="1126" t="s">
        <v>748</v>
      </c>
      <c r="F109" s="1142">
        <v>1203</v>
      </c>
      <c r="G109" s="1126" t="s">
        <v>1307</v>
      </c>
      <c r="H109" s="1126" t="s">
        <v>1307</v>
      </c>
      <c r="I109" s="1126" t="s">
        <v>1308</v>
      </c>
      <c r="J109" s="1126" t="s">
        <v>1216</v>
      </c>
    </row>
    <row r="110" spans="1:10" s="1124" customFormat="1" ht="15.75" customHeight="1">
      <c r="A110" s="1126" t="s">
        <v>1217</v>
      </c>
      <c r="B110" s="1126" t="s">
        <v>1218</v>
      </c>
      <c r="C110" s="1126" t="s">
        <v>1219</v>
      </c>
      <c r="D110" s="1126" t="s">
        <v>1220</v>
      </c>
      <c r="E110" s="1126" t="s">
        <v>1221</v>
      </c>
      <c r="F110" s="1126" t="s">
        <v>1222</v>
      </c>
      <c r="G110" s="1126" t="s">
        <v>1223</v>
      </c>
      <c r="H110" s="1126" t="s">
        <v>1224</v>
      </c>
      <c r="I110" s="1126" t="s">
        <v>1225</v>
      </c>
      <c r="J110" s="1126" t="s">
        <v>399</v>
      </c>
    </row>
    <row r="111" spans="1:10" s="1124" customFormat="1" ht="22.5" customHeight="1">
      <c r="A111" s="1555" t="s">
        <v>1314</v>
      </c>
      <c r="B111" s="1555"/>
      <c r="C111" s="1555"/>
      <c r="D111" s="1555"/>
      <c r="E111" s="1555"/>
      <c r="F111" s="1555"/>
      <c r="G111" s="1555"/>
      <c r="H111" s="1555"/>
      <c r="I111" s="1555"/>
      <c r="J111" s="1555"/>
    </row>
    <row r="112" spans="1:10" s="1124" customFormat="1" ht="29.25">
      <c r="A112" s="1135">
        <v>1</v>
      </c>
      <c r="B112" s="1129" t="s">
        <v>915</v>
      </c>
      <c r="C112" s="1130">
        <f>SUM(D112:I112)</f>
        <v>1265987.9</v>
      </c>
      <c r="D112" s="1134">
        <v>0</v>
      </c>
      <c r="E112" s="1134">
        <v>0</v>
      </c>
      <c r="F112" s="1134">
        <v>1265987.9</v>
      </c>
      <c r="G112" s="1134">
        <v>0</v>
      </c>
      <c r="H112" s="1134">
        <v>0</v>
      </c>
      <c r="I112" s="1134">
        <v>0</v>
      </c>
      <c r="J112" s="1135"/>
    </row>
    <row r="113" spans="1:10" s="1124" customFormat="1" ht="25.5" customHeight="1">
      <c r="A113" s="1556" t="s">
        <v>1305</v>
      </c>
      <c r="B113" s="1556"/>
      <c r="C113" s="1140">
        <f aca="true" t="shared" si="15" ref="C113:I113">C112</f>
        <v>1265987.9</v>
      </c>
      <c r="D113" s="1140">
        <f t="shared" si="15"/>
        <v>0</v>
      </c>
      <c r="E113" s="1140">
        <f t="shared" si="15"/>
        <v>0</v>
      </c>
      <c r="F113" s="1140">
        <f t="shared" si="15"/>
        <v>1265987.9</v>
      </c>
      <c r="G113" s="1140">
        <f t="shared" si="15"/>
        <v>0</v>
      </c>
      <c r="H113" s="1140">
        <f t="shared" si="15"/>
        <v>0</v>
      </c>
      <c r="I113" s="1140">
        <f t="shared" si="15"/>
        <v>0</v>
      </c>
      <c r="J113" s="1135"/>
    </row>
    <row r="114" spans="1:10" s="1124" customFormat="1" ht="27" customHeight="1">
      <c r="A114" s="1556" t="s">
        <v>1306</v>
      </c>
      <c r="B114" s="1556"/>
      <c r="C114" s="1141">
        <f>C90+C108+C113+C95+C103</f>
        <v>27605874.29</v>
      </c>
      <c r="D114" s="1141">
        <f aca="true" t="shared" si="16" ref="D114:I114">D90+D108+D113+D95+D103</f>
        <v>192422.36</v>
      </c>
      <c r="E114" s="1141">
        <f t="shared" si="16"/>
        <v>1199054.3599999999</v>
      </c>
      <c r="F114" s="1141">
        <f>F90+F108+F113+F95+F103</f>
        <v>13805247.83</v>
      </c>
      <c r="G114" s="1141">
        <f t="shared" si="16"/>
        <v>0</v>
      </c>
      <c r="H114" s="1141">
        <f t="shared" si="16"/>
        <v>8509043.19</v>
      </c>
      <c r="I114" s="1141">
        <f t="shared" si="16"/>
        <v>3900106.55</v>
      </c>
      <c r="J114" s="1131"/>
    </row>
  </sheetData>
  <sheetProtection/>
  <mergeCells count="29">
    <mergeCell ref="A114:B114"/>
    <mergeCell ref="A93:J93"/>
    <mergeCell ref="A95:B95"/>
    <mergeCell ref="A103:B103"/>
    <mergeCell ref="A98:J98"/>
    <mergeCell ref="A89:B89"/>
    <mergeCell ref="A90:B90"/>
    <mergeCell ref="A106:J106"/>
    <mergeCell ref="A108:B108"/>
    <mergeCell ref="A111:J111"/>
    <mergeCell ref="A113:B113"/>
    <mergeCell ref="A63:B63"/>
    <mergeCell ref="A64:J64"/>
    <mergeCell ref="A67:B67"/>
    <mergeCell ref="A68:J68"/>
    <mergeCell ref="A85:B85"/>
    <mergeCell ref="A86:C86"/>
    <mergeCell ref="A40:B40"/>
    <mergeCell ref="A41:J41"/>
    <mergeCell ref="A45:B45"/>
    <mergeCell ref="A46:J46"/>
    <mergeCell ref="A57:B57"/>
    <mergeCell ref="A58:J58"/>
    <mergeCell ref="A3:J3"/>
    <mergeCell ref="A6:J6"/>
    <mergeCell ref="D2:F2"/>
    <mergeCell ref="A7:J7"/>
    <mergeCell ref="A14:B14"/>
    <mergeCell ref="A15:J15"/>
  </mergeCells>
  <printOptions horizontalCentered="1"/>
  <pageMargins left="0.35433070866141736" right="0.2362204724409449" top="0.7480314960629921" bottom="0.7480314960629921" header="0.31496062992125984" footer="0.31496062992125984"/>
  <pageSetup firstPageNumber="79" useFirstPageNumber="1" fitToHeight="0" fitToWidth="1" horizontalDpi="600" verticalDpi="600" orientation="landscape" paperSize="9" r:id="rId1"/>
  <headerFooter>
    <oddHeader>&amp;C&amp;P</oddHeader>
  </headerFooter>
  <rowBreaks count="8" manualBreakCount="8">
    <brk id="14" max="255" man="1"/>
    <brk id="40" max="255" man="1"/>
    <brk id="45" max="255" man="1"/>
    <brk id="57" max="255" man="1"/>
    <brk id="67" max="255" man="1"/>
    <brk id="80" max="9" man="1"/>
    <brk id="90" max="255" man="1"/>
    <brk id="10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2"/>
  <sheetViews>
    <sheetView view="pageBreakPreview" zoomScale="60" zoomScalePageLayoutView="0" workbookViewId="0" topLeftCell="A1">
      <selection activeCell="P14" sqref="P14"/>
    </sheetView>
  </sheetViews>
  <sheetFormatPr defaultColWidth="9.140625" defaultRowHeight="12.75"/>
  <sheetData>
    <row r="3" spans="1:14" ht="14.25">
      <c r="A3" s="1561" t="s">
        <v>1175</v>
      </c>
      <c r="B3" s="1561"/>
      <c r="C3" s="1561"/>
      <c r="D3" s="1561"/>
      <c r="E3" s="1561"/>
      <c r="F3" s="1561"/>
      <c r="G3" s="1561"/>
      <c r="H3" s="1561"/>
      <c r="I3" s="1561"/>
      <c r="J3" s="1561"/>
      <c r="K3" s="1561"/>
      <c r="L3" s="1561"/>
      <c r="M3" s="1561"/>
      <c r="N3" s="1561"/>
    </row>
    <row r="5" spans="1:14" ht="12.75" customHeight="1">
      <c r="A5" s="1560" t="s">
        <v>1040</v>
      </c>
      <c r="B5" s="1560"/>
      <c r="C5" s="1560"/>
      <c r="D5" s="1560"/>
      <c r="E5" s="1560"/>
      <c r="F5" s="1560"/>
      <c r="G5" s="1560"/>
      <c r="H5" s="1560"/>
      <c r="I5" s="1560"/>
      <c r="J5" s="1560"/>
      <c r="K5" s="1560"/>
      <c r="L5" s="1560"/>
      <c r="M5" s="1560"/>
      <c r="N5" s="1560"/>
    </row>
    <row r="6" spans="1:14" ht="24" customHeight="1">
      <c r="A6" s="1560"/>
      <c r="B6" s="1560"/>
      <c r="C6" s="1560"/>
      <c r="D6" s="1560"/>
      <c r="E6" s="1560"/>
      <c r="F6" s="1560"/>
      <c r="G6" s="1560"/>
      <c r="H6" s="1560"/>
      <c r="I6" s="1560"/>
      <c r="J6" s="1560"/>
      <c r="K6" s="1560"/>
      <c r="L6" s="1560"/>
      <c r="M6" s="1560"/>
      <c r="N6" s="1560"/>
    </row>
    <row r="16" spans="1:14" ht="14.25">
      <c r="A16" s="833" t="s">
        <v>32</v>
      </c>
      <c r="B16" s="833"/>
      <c r="C16" s="833"/>
      <c r="D16" s="833"/>
      <c r="E16" s="833"/>
      <c r="F16" s="833"/>
      <c r="G16" s="833"/>
      <c r="H16" s="833"/>
      <c r="I16" s="833"/>
      <c r="J16" s="1561" t="s">
        <v>1180</v>
      </c>
      <c r="K16" s="1561"/>
      <c r="L16" s="1561"/>
      <c r="M16" s="1561"/>
      <c r="N16" s="833"/>
    </row>
    <row r="17" spans="1:14" ht="14.25">
      <c r="A17" s="833" t="s">
        <v>34</v>
      </c>
      <c r="B17" s="833"/>
      <c r="C17" s="833"/>
      <c r="D17" s="833"/>
      <c r="E17" s="833"/>
      <c r="F17" s="833"/>
      <c r="G17" s="833"/>
      <c r="H17" s="833"/>
      <c r="I17" s="833"/>
      <c r="J17" s="833"/>
      <c r="K17" s="833"/>
      <c r="L17" s="833"/>
      <c r="M17" s="833"/>
      <c r="N17" s="833"/>
    </row>
    <row r="18" spans="1:14" ht="14.25">
      <c r="A18" s="833" t="s">
        <v>35</v>
      </c>
      <c r="B18" s="833"/>
      <c r="C18" s="833"/>
      <c r="D18" s="833"/>
      <c r="E18" s="833"/>
      <c r="F18" s="833"/>
      <c r="G18" s="833"/>
      <c r="H18" s="833"/>
      <c r="I18" s="833"/>
      <c r="J18" s="1561" t="s">
        <v>1211</v>
      </c>
      <c r="K18" s="1561"/>
      <c r="L18" s="1561"/>
      <c r="M18" s="1561"/>
      <c r="N18" s="833"/>
    </row>
    <row r="19" spans="1:14" ht="14.25">
      <c r="A19" s="833" t="s">
        <v>450</v>
      </c>
      <c r="B19" s="833"/>
      <c r="C19" s="833"/>
      <c r="D19" s="833"/>
      <c r="E19" s="833"/>
      <c r="F19" s="833"/>
      <c r="G19" s="833"/>
      <c r="H19" s="833"/>
      <c r="I19" s="833"/>
      <c r="J19" s="833"/>
      <c r="K19" s="833"/>
      <c r="L19" s="833"/>
      <c r="M19" s="833"/>
      <c r="N19" s="833"/>
    </row>
    <row r="20" spans="1:14" ht="14.25">
      <c r="A20" s="833" t="s">
        <v>449</v>
      </c>
      <c r="B20" s="833"/>
      <c r="C20" s="833"/>
      <c r="D20" s="833"/>
      <c r="E20" s="833"/>
      <c r="F20" s="833"/>
      <c r="G20" s="833"/>
      <c r="H20" s="833"/>
      <c r="I20" s="833"/>
      <c r="J20" s="833"/>
      <c r="K20" s="833"/>
      <c r="L20" s="833"/>
      <c r="M20" s="833"/>
      <c r="N20" s="833"/>
    </row>
    <row r="21" spans="1:14" ht="14.25">
      <c r="A21" s="833" t="s">
        <v>85</v>
      </c>
      <c r="B21" s="833"/>
      <c r="C21" s="833"/>
      <c r="D21" s="833"/>
      <c r="E21" s="833"/>
      <c r="F21" s="833"/>
      <c r="G21" s="833"/>
      <c r="H21" s="833"/>
      <c r="I21" s="833"/>
      <c r="J21" s="833"/>
      <c r="K21" s="833"/>
      <c r="L21" s="833"/>
      <c r="M21" s="833"/>
      <c r="N21" s="833"/>
    </row>
    <row r="22" spans="1:14" ht="14.25">
      <c r="A22" s="1562" t="s">
        <v>1041</v>
      </c>
      <c r="B22" s="1562"/>
      <c r="C22" s="1562"/>
      <c r="D22" s="1562"/>
      <c r="E22" s="833"/>
      <c r="F22" s="833"/>
      <c r="G22" s="833"/>
      <c r="H22" s="833"/>
      <c r="I22" s="833"/>
      <c r="J22" s="833"/>
      <c r="K22" s="833"/>
      <c r="L22" s="833"/>
      <c r="M22" s="833"/>
      <c r="N22" s="833"/>
    </row>
  </sheetData>
  <sheetProtection/>
  <mergeCells count="5">
    <mergeCell ref="A5:N6"/>
    <mergeCell ref="A3:N3"/>
    <mergeCell ref="A22:D22"/>
    <mergeCell ref="J16:M16"/>
    <mergeCell ref="J18:M18"/>
  </mergeCells>
  <printOptions/>
  <pageMargins left="0.7086614173228347" right="0.7086614173228347" top="0.7480314960629921" bottom="0.7480314960629921" header="0.31496062992125984" footer="0.31496062992125984"/>
  <pageSetup firstPageNumber="89" useFirstPageNumber="1" fitToHeight="1" fitToWidth="1"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L23"/>
  <sheetViews>
    <sheetView view="pageBreakPreview" zoomScale="75" zoomScaleSheetLayoutView="75" zoomScalePageLayoutView="0" workbookViewId="0" topLeftCell="C10">
      <selection activeCell="B17" sqref="B17"/>
    </sheetView>
  </sheetViews>
  <sheetFormatPr defaultColWidth="9.140625" defaultRowHeight="12.75"/>
  <cols>
    <col min="1" max="1" width="0.13671875" style="194" customWidth="1"/>
    <col min="2" max="2" width="59.8515625" style="194" customWidth="1"/>
    <col min="3" max="11" width="21.57421875" style="194" customWidth="1"/>
    <col min="12" max="12" width="23.28125" style="194" customWidth="1"/>
    <col min="13" max="16384" width="9.140625" style="194" customWidth="1"/>
  </cols>
  <sheetData>
    <row r="2" spans="2:12" ht="15"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2:12" ht="59.25" customHeight="1">
      <c r="B3" s="1502" t="s">
        <v>1369</v>
      </c>
      <c r="C3" s="1502"/>
      <c r="D3" s="1502"/>
      <c r="E3" s="1502"/>
      <c r="F3" s="1502"/>
      <c r="G3" s="1502"/>
      <c r="H3" s="1502"/>
      <c r="I3" s="1502"/>
      <c r="J3" s="1502"/>
      <c r="K3" s="1502"/>
      <c r="L3" s="1502"/>
    </row>
    <row r="4" spans="2:12" ht="34.5" customHeight="1">
      <c r="B4" s="1503" t="s">
        <v>1037</v>
      </c>
      <c r="C4" s="1503"/>
      <c r="D4" s="1503"/>
      <c r="E4" s="1503"/>
      <c r="F4" s="1503"/>
      <c r="G4" s="1503"/>
      <c r="H4" s="1503"/>
      <c r="I4" s="1503"/>
      <c r="J4" s="1503"/>
      <c r="K4" s="1503"/>
      <c r="L4" s="1503"/>
    </row>
    <row r="5" spans="2:12" ht="21.75" customHeight="1">
      <c r="B5" s="984"/>
      <c r="C5" s="984"/>
      <c r="D5" s="984"/>
      <c r="E5" s="984"/>
      <c r="F5" s="984"/>
      <c r="G5" s="984"/>
      <c r="H5" s="984"/>
      <c r="I5" s="984"/>
      <c r="J5" s="984"/>
      <c r="K5" s="984"/>
      <c r="L5" s="984"/>
    </row>
    <row r="6" spans="2:12" ht="32.25" customHeight="1">
      <c r="B6" s="1085"/>
      <c r="C6" s="984"/>
      <c r="D6" s="984"/>
      <c r="E6" s="984"/>
      <c r="F6" s="984"/>
      <c r="G6" s="984"/>
      <c r="H6" s="984"/>
      <c r="I6" s="984"/>
      <c r="J6" s="984"/>
      <c r="K6" s="984"/>
      <c r="L6" s="984"/>
    </row>
    <row r="7" spans="2:12" ht="15.75" customHeight="1">
      <c r="B7" s="1084"/>
      <c r="C7" s="984"/>
      <c r="D7" s="984"/>
      <c r="E7" s="984"/>
      <c r="F7" s="984"/>
      <c r="G7" s="984"/>
      <c r="H7" s="984"/>
      <c r="I7" s="984"/>
      <c r="J7" s="984"/>
      <c r="K7" s="984"/>
      <c r="L7" s="984"/>
    </row>
    <row r="8" spans="2:12" ht="27.75" customHeight="1">
      <c r="B8" s="1143"/>
      <c r="C8" s="197"/>
      <c r="D8" s="197"/>
      <c r="E8" s="197"/>
      <c r="F8" s="197"/>
      <c r="G8" s="197"/>
      <c r="H8" s="197"/>
      <c r="I8" s="197"/>
      <c r="J8" s="197"/>
      <c r="K8" s="197"/>
      <c r="L8" s="195"/>
    </row>
    <row r="9" spans="2:12" ht="12" customHeight="1" thickBot="1"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</row>
    <row r="10" spans="2:12" ht="228.75" customHeight="1">
      <c r="B10" s="199" t="s">
        <v>340</v>
      </c>
      <c r="C10" s="814" t="s">
        <v>1128</v>
      </c>
      <c r="D10" s="814" t="s">
        <v>1371</v>
      </c>
      <c r="E10" s="814" t="s">
        <v>1372</v>
      </c>
      <c r="F10" s="814" t="s">
        <v>1373</v>
      </c>
      <c r="G10" s="814" t="s">
        <v>1181</v>
      </c>
      <c r="H10" s="814" t="s">
        <v>1374</v>
      </c>
      <c r="I10" s="814" t="s">
        <v>1375</v>
      </c>
      <c r="J10" s="814" t="s">
        <v>1376</v>
      </c>
      <c r="K10" s="814" t="s">
        <v>1129</v>
      </c>
      <c r="L10" s="1006" t="s">
        <v>1370</v>
      </c>
    </row>
    <row r="11" spans="2:12" s="195" customFormat="1" ht="12.75" customHeight="1">
      <c r="B11" s="200">
        <v>1</v>
      </c>
      <c r="C11" s="201">
        <v>2</v>
      </c>
      <c r="D11" s="201">
        <v>3</v>
      </c>
      <c r="E11" s="201">
        <v>4</v>
      </c>
      <c r="F11" s="201">
        <v>5</v>
      </c>
      <c r="G11" s="201">
        <v>6</v>
      </c>
      <c r="H11" s="201">
        <v>7</v>
      </c>
      <c r="I11" s="201">
        <v>8</v>
      </c>
      <c r="J11" s="201">
        <v>9</v>
      </c>
      <c r="K11" s="201">
        <v>10</v>
      </c>
      <c r="L11" s="977">
        <v>11</v>
      </c>
    </row>
    <row r="12" spans="2:12" s="195" customFormat="1" ht="34.5" customHeight="1">
      <c r="B12" s="202" t="s">
        <v>351</v>
      </c>
      <c r="C12" s="203">
        <f>SUM('PRIHODI 2.str.'!C5,'PRIHODI 2.str.'!C6,'PRIHODI 2.str.'!C27,'PRIHODI 2.str.'!C45,'PRIHODI 2.str.'!C53,'PRIHODI 2.str.'!C82,'PRIHODI 2.str.'!C92,'PRIHODI 2.str.'!C61,'PRIHODI 2.str.'!C20,)</f>
        <v>51671790.1</v>
      </c>
      <c r="D12" s="203">
        <f>SUM('PRIHODI 2.str.'!D5,'PRIHODI 2.str.'!D6,'PRIHODI 2.str.'!D27,'PRIHODI 2.str.'!D45,'PRIHODI 2.str.'!D53,'PRIHODI 2.str.'!D82,'PRIHODI 2.str.'!D92,'PRIHODI 2.str.'!D61,'PRIHODI 2.str.'!D20,)</f>
        <v>2758627.92</v>
      </c>
      <c r="E12" s="203">
        <f>SUM('PRIHODI 2.str.'!E5,'PRIHODI 2.str.'!E6,'PRIHODI 2.str.'!E27,'PRIHODI 2.str.'!E45,'PRIHODI 2.str.'!E53,'PRIHODI 2.str.'!E82,'PRIHODI 2.str.'!E92,'PRIHODI 2.str.'!E61,'PRIHODI 2.str.'!E20,)</f>
        <v>7103405.75</v>
      </c>
      <c r="F12" s="203">
        <f>SUM('PRIHODI 2.str.'!F5,'PRIHODI 2.str.'!F6,'PRIHODI 2.str.'!F27,'PRIHODI 2.str.'!F45,'PRIHODI 2.str.'!F53,'PRIHODI 2.str.'!F82,'PRIHODI 2.str.'!F92,'PRIHODI 2.str.'!F61,'PRIHODI 2.str.'!F20,)</f>
        <v>47327012.27</v>
      </c>
      <c r="G12" s="203">
        <f>SUM('PRIHODI 2.str.'!G5,'PRIHODI 2.str.'!G6,'PRIHODI 2.str.'!G27,'PRIHODI 2.str.'!G45,'PRIHODI 2.str.'!G53,'PRIHODI 2.str.'!G82,'PRIHODI 2.str.'!G92,'PRIHODI 2.str.'!G61,'PRIHODI 2.str.'!G20,)</f>
        <v>8431184.23</v>
      </c>
      <c r="H12" s="203">
        <f>SUM('PRIHODI 2.str.'!H5,'PRIHODI 2.str.'!H6,'PRIHODI 2.str.'!H27,'PRIHODI 2.str.'!H45,'PRIHODI 2.str.'!H53,'PRIHODI 2.str.'!H82,'PRIHODI 2.str.'!H92,'PRIHODI 2.str.'!H61,'PRIHODI 2.str.'!H20,)</f>
        <v>58659.2</v>
      </c>
      <c r="I12" s="203">
        <f>SUM('PRIHODI 2.str.'!I5,'PRIHODI 2.str.'!I6,'PRIHODI 2.str.'!I27,'PRIHODI 2.str.'!I45,'PRIHODI 2.str.'!I53,'PRIHODI 2.str.'!I82,'PRIHODI 2.str.'!I92,'PRIHODI 2.str.'!I61,'PRIHODI 2.str.'!I20,)</f>
        <v>1155450</v>
      </c>
      <c r="J12" s="203">
        <f>SUM('PRIHODI 2.str.'!J5,'PRIHODI 2.str.'!J6,'PRIHODI 2.str.'!J27,'PRIHODI 2.str.'!J45,'PRIHODI 2.str.'!J53,'PRIHODI 2.str.'!J82,'PRIHODI 2.str.'!J92,'PRIHODI 2.str.'!J61,'PRIHODI 2.str.'!J20,)</f>
        <v>7334393.430000001</v>
      </c>
      <c r="K12" s="203">
        <f>SUM('PRIHODI 2.str.'!K5,'PRIHODI 2.str.'!K6,'PRIHODI 2.str.'!K27,'PRIHODI 2.str.'!K45,'PRIHODI 2.str.'!K53,'PRIHODI 2.str.'!K82,'PRIHODI 2.str.'!K92,'PRIHODI 2.str.'!K61,'PRIHODI 2.str.'!K20,)</f>
        <v>60102974.330000006</v>
      </c>
      <c r="L12" s="203">
        <f>SUM('PRIHODI 2.str.'!L5,'PRIHODI 2.str.'!L6,'PRIHODI 2.str.'!L27,'PRIHODI 2.str.'!L45,'PRIHODI 2.str.'!L53,'PRIHODI 2.str.'!L82,'PRIHODI 2.str.'!L92,'PRIHODI 2.str.'!L61,'PRIHODI 2.str.'!L20,)</f>
        <v>54661405.7</v>
      </c>
    </row>
    <row r="13" spans="2:12" s="195" customFormat="1" ht="34.5" customHeight="1">
      <c r="B13" s="841" t="s">
        <v>1098</v>
      </c>
      <c r="C13" s="204">
        <f>SUM('PRIHODI 2.str.'!C28,)</f>
        <v>2550000</v>
      </c>
      <c r="D13" s="204">
        <f>SUM('PRIHODI 2.str.'!D28,)</f>
        <v>600000</v>
      </c>
      <c r="E13" s="204">
        <f>SUM('PRIHODI 2.str.'!E28,)</f>
        <v>0</v>
      </c>
      <c r="F13" s="204">
        <f>SUM('PRIHODI 2.str.'!F28,)</f>
        <v>3150000</v>
      </c>
      <c r="G13" s="204">
        <f>SUM('PRIHODI 2.str.'!G28,)</f>
        <v>0</v>
      </c>
      <c r="H13" s="204">
        <f>SUM('PRIHODI 2.str.'!H28,)</f>
        <v>0</v>
      </c>
      <c r="I13" s="204">
        <f>SUM('PRIHODI 2.str.'!I28,)</f>
        <v>0</v>
      </c>
      <c r="J13" s="204">
        <f>SUM('PRIHODI 2.str.'!J28,)</f>
        <v>0</v>
      </c>
      <c r="K13" s="204">
        <f>SUM('PRIHODI 2.str.'!K28,)</f>
        <v>2550000</v>
      </c>
      <c r="L13" s="204">
        <f>SUM('PRIHODI 2.str.'!L28,)</f>
        <v>3150000</v>
      </c>
    </row>
    <row r="14" spans="2:12" s="195" customFormat="1" ht="35.25" customHeight="1">
      <c r="B14" s="831" t="s">
        <v>1099</v>
      </c>
      <c r="C14" s="204">
        <f>SUM('PRIHODI 2.str.'!C29)</f>
        <v>500000</v>
      </c>
      <c r="D14" s="204">
        <f>SUM('PRIHODI 2.str.'!D29)</f>
        <v>0</v>
      </c>
      <c r="E14" s="204">
        <f>SUM('PRIHODI 2.str.'!E29)</f>
        <v>0</v>
      </c>
      <c r="F14" s="204">
        <f>SUM('PRIHODI 2.str.'!F29)</f>
        <v>500000</v>
      </c>
      <c r="G14" s="204">
        <f>SUM('PRIHODI 2.str.'!G29)</f>
        <v>0</v>
      </c>
      <c r="H14" s="204">
        <f>SUM('PRIHODI 2.str.'!H29)</f>
        <v>0</v>
      </c>
      <c r="I14" s="204">
        <f>SUM('PRIHODI 2.str.'!I29)</f>
        <v>0</v>
      </c>
      <c r="J14" s="204">
        <f>SUM('PRIHODI 2.str.'!J29)</f>
        <v>0</v>
      </c>
      <c r="K14" s="204">
        <f>SUM('PRIHODI 2.str.'!K29)</f>
        <v>500000</v>
      </c>
      <c r="L14" s="204">
        <f>SUM('PRIHODI 2.str.'!L29)</f>
        <v>500000</v>
      </c>
    </row>
    <row r="15" spans="2:12" s="195" customFormat="1" ht="34.5" customHeight="1">
      <c r="B15" s="841" t="s">
        <v>1100</v>
      </c>
      <c r="C15" s="204">
        <f>SUM('PRIHODI 2.str.'!C30)</f>
        <v>7000000</v>
      </c>
      <c r="D15" s="204">
        <f>SUM('PRIHODI 2.str.'!D30)</f>
        <v>0</v>
      </c>
      <c r="E15" s="204">
        <f>SUM('PRIHODI 2.str.'!E30)</f>
        <v>0</v>
      </c>
      <c r="F15" s="204">
        <f>SUM('PRIHODI 2.str.'!F30)</f>
        <v>7000000</v>
      </c>
      <c r="G15" s="204">
        <f>SUM('PRIHODI 2.str.'!G30)</f>
        <v>0</v>
      </c>
      <c r="H15" s="204">
        <f>SUM('PRIHODI 2.str.'!H30)</f>
        <v>0</v>
      </c>
      <c r="I15" s="204">
        <f>SUM('PRIHODI 2.str.'!I30)</f>
        <v>0</v>
      </c>
      <c r="J15" s="204">
        <f>SUM('PRIHODI 2.str.'!J30)</f>
        <v>0</v>
      </c>
      <c r="K15" s="204">
        <f>SUM('PRIHODI 2.str.'!K30)</f>
        <v>7000000</v>
      </c>
      <c r="L15" s="204">
        <f>SUM('PRIHODI 2.str.'!L30)</f>
        <v>7000000</v>
      </c>
    </row>
    <row r="16" spans="2:12" s="195" customFormat="1" ht="52.5" customHeight="1">
      <c r="B16" s="831" t="s">
        <v>1427</v>
      </c>
      <c r="C16" s="204">
        <f>SUM('PRIHODI 2.str.'!C7,'PRIHODI 2.str.'!C31,'PRIHODI 2.str.'!C67,'PRIHODI 2.str.'!C83,'PRIHODI 2.str.'!C93)</f>
        <v>6635689.16</v>
      </c>
      <c r="D16" s="204">
        <f>SUM('PRIHODI 2.str.'!D7,'PRIHODI 2.str.'!D31,'PRIHODI 2.str.'!D67,'PRIHODI 2.str.'!D83,'PRIHODI 2.str.'!D93)</f>
        <v>4187197.02</v>
      </c>
      <c r="E16" s="204">
        <f>SUM('PRIHODI 2.str.'!E7,'PRIHODI 2.str.'!E31,'PRIHODI 2.str.'!E67,'PRIHODI 2.str.'!E83,'PRIHODI 2.str.'!E93)</f>
        <v>299627.92</v>
      </c>
      <c r="F16" s="204">
        <f>SUM('PRIHODI 2.str.'!F7,'PRIHODI 2.str.'!F31,'PRIHODI 2.str.'!F67,'PRIHODI 2.str.'!F83,'PRIHODI 2.str.'!F93)</f>
        <v>10523258.26</v>
      </c>
      <c r="G16" s="204">
        <f>SUM('PRIHODI 2.str.'!G7,'PRIHODI 2.str.'!G31,'PRIHODI 2.str.'!G67,'PRIHODI 2.str.'!G83,'PRIHODI 2.str.'!G93)</f>
        <v>0</v>
      </c>
      <c r="H16" s="204">
        <f>SUM('PRIHODI 2.str.'!H7,'PRIHODI 2.str.'!H31,'PRIHODI 2.str.'!H67,'PRIHODI 2.str.'!H83,'PRIHODI 2.str.'!H93)</f>
        <v>0</v>
      </c>
      <c r="I16" s="204">
        <f>SUM('PRIHODI 2.str.'!I7,'PRIHODI 2.str.'!I31,'PRIHODI 2.str.'!I67,'PRIHODI 2.str.'!I83,'PRIHODI 2.str.'!I93)</f>
        <v>0</v>
      </c>
      <c r="J16" s="204">
        <f>SUM('PRIHODI 2.str.'!J7,'PRIHODI 2.str.'!J31,'PRIHODI 2.str.'!J67,'PRIHODI 2.str.'!J83,'PRIHODI 2.str.'!J93)</f>
        <v>0</v>
      </c>
      <c r="K16" s="204">
        <f>SUM('PRIHODI 2.str.'!K7,'PRIHODI 2.str.'!K31,'PRIHODI 2.str.'!K67,'PRIHODI 2.str.'!K83,'PRIHODI 2.str.'!K93)</f>
        <v>6635689.16</v>
      </c>
      <c r="L16" s="204">
        <f>SUM('PRIHODI 2.str.'!L7,'PRIHODI 2.str.'!L31,'PRIHODI 2.str.'!L67,'PRIHODI 2.str.'!L83,'PRIHODI 2.str.'!L93)</f>
        <v>10523258.26</v>
      </c>
    </row>
    <row r="17" spans="2:12" s="196" customFormat="1" ht="35.25" customHeight="1">
      <c r="B17" s="205" t="s">
        <v>352</v>
      </c>
      <c r="C17" s="206">
        <f aca="true" t="shared" si="0" ref="C17:L17">SUM(C12:C16)</f>
        <v>68357479.26</v>
      </c>
      <c r="D17" s="206">
        <f t="shared" si="0"/>
        <v>7545824.9399999995</v>
      </c>
      <c r="E17" s="206">
        <f t="shared" si="0"/>
        <v>7403033.67</v>
      </c>
      <c r="F17" s="206">
        <f t="shared" si="0"/>
        <v>68500270.53</v>
      </c>
      <c r="G17" s="206">
        <f t="shared" si="0"/>
        <v>8431184.23</v>
      </c>
      <c r="H17" s="206">
        <f t="shared" si="0"/>
        <v>58659.2</v>
      </c>
      <c r="I17" s="206">
        <f t="shared" si="0"/>
        <v>1155450</v>
      </c>
      <c r="J17" s="206">
        <f t="shared" si="0"/>
        <v>7334393.430000001</v>
      </c>
      <c r="K17" s="206">
        <f t="shared" si="0"/>
        <v>76788663.49000001</v>
      </c>
      <c r="L17" s="206">
        <f t="shared" si="0"/>
        <v>75834663.96000001</v>
      </c>
    </row>
    <row r="18" spans="2:12" s="195" customFormat="1" ht="34.5" customHeight="1">
      <c r="B18" s="841" t="s">
        <v>1092</v>
      </c>
      <c r="C18" s="203">
        <f>SUM('PRIHODI 2.str.'!C9,'PRIHODI 2.str.'!C10,'PRIHODI 2.str.'!C33,'PRIHODI 2.str.'!C46,'PRIHODI 2.str.'!C54,'PRIHODI 2.str.'!C85,'PRIHODI 2.str.'!C95,'PRIHODI 2.str.'!C62,'PRIHODI 2.str.'!C21,)</f>
        <v>57417479.26</v>
      </c>
      <c r="D18" s="203">
        <f>SUM('PRIHODI 2.str.'!D9,'PRIHODI 2.str.'!D10,'PRIHODI 2.str.'!D33,'PRIHODI 2.str.'!D46,'PRIHODI 2.str.'!D54,'PRIHODI 2.str.'!D85,'PRIHODI 2.str.'!D95,'PRIHODI 2.str.'!D62,'PRIHODI 2.str.'!D21,)</f>
        <v>6144043.37</v>
      </c>
      <c r="E18" s="203">
        <f>SUM('PRIHODI 2.str.'!E9,'PRIHODI 2.str.'!E10,'PRIHODI 2.str.'!E33,'PRIHODI 2.str.'!E46,'PRIHODI 2.str.'!E54,'PRIHODI 2.str.'!E85,'PRIHODI 2.str.'!E95,'PRIHODI 2.str.'!E62,'PRIHODI 2.str.'!E21,)</f>
        <v>6001252.1</v>
      </c>
      <c r="F18" s="203">
        <f>SUM('PRIHODI 2.str.'!F9,'PRIHODI 2.str.'!F10,'PRIHODI 2.str.'!F33,'PRIHODI 2.str.'!F46,'PRIHODI 2.str.'!F54,'PRIHODI 2.str.'!F85,'PRIHODI 2.str.'!F95,'PRIHODI 2.str.'!F62,'PRIHODI 2.str.'!F21,)</f>
        <v>57560270.529999994</v>
      </c>
      <c r="G18" s="203">
        <f>SUM('PRIHODI 2.str.'!G9,'PRIHODI 2.str.'!G10,'PRIHODI 2.str.'!G33,'PRIHODI 2.str.'!G46,'PRIHODI 2.str.'!G54,'PRIHODI 2.str.'!G85,'PRIHODI 2.str.'!G95,'PRIHODI 2.str.'!G62,'PRIHODI 2.str.'!G21,)</f>
        <v>8431184.23</v>
      </c>
      <c r="H18" s="203">
        <f>SUM('PRIHODI 2.str.'!H9,'PRIHODI 2.str.'!H10,'PRIHODI 2.str.'!H33,'PRIHODI 2.str.'!H46,'PRIHODI 2.str.'!H54,'PRIHODI 2.str.'!H85,'PRIHODI 2.str.'!H95,'PRIHODI 2.str.'!H62,'PRIHODI 2.str.'!H21,)</f>
        <v>11059.2</v>
      </c>
      <c r="I18" s="203">
        <f>SUM('PRIHODI 2.str.'!I9,'PRIHODI 2.str.'!I10,'PRIHODI 2.str.'!I33,'PRIHODI 2.str.'!I46,'PRIHODI 2.str.'!I54,'PRIHODI 2.str.'!I85,'PRIHODI 2.str.'!I95,'PRIHODI 2.str.'!I62,'PRIHODI 2.str.'!I21,)</f>
        <v>1107850</v>
      </c>
      <c r="J18" s="203">
        <f>SUM('PRIHODI 2.str.'!J9,'PRIHODI 2.str.'!J10,'PRIHODI 2.str.'!J33,'PRIHODI 2.str.'!J46,'PRIHODI 2.str.'!J54,'PRIHODI 2.str.'!J85,'PRIHODI 2.str.'!J95,'PRIHODI 2.str.'!J62,'PRIHODI 2.str.'!J21,)</f>
        <v>7334393.43</v>
      </c>
      <c r="K18" s="203">
        <f>SUM('PRIHODI 2.str.'!K9,'PRIHODI 2.str.'!K10,'PRIHODI 2.str.'!K33,'PRIHODI 2.str.'!K46,'PRIHODI 2.str.'!K54,'PRIHODI 2.str.'!K85,'PRIHODI 2.str.'!K95,'PRIHODI 2.str.'!K62,'PRIHODI 2.str.'!K21,)</f>
        <v>65848663.49000001</v>
      </c>
      <c r="L18" s="203">
        <f>SUM('PRIHODI 2.str.'!L9,'PRIHODI 2.str.'!L10,'PRIHODI 2.str.'!L33,'PRIHODI 2.str.'!L46,'PRIHODI 2.str.'!L54,'PRIHODI 2.str.'!L85,'PRIHODI 2.str.'!L95,'PRIHODI 2.str.'!L62,'PRIHODI 2.str.'!L21,)</f>
        <v>64894663.96</v>
      </c>
    </row>
    <row r="19" spans="2:12" s="195" customFormat="1" ht="34.5" customHeight="1">
      <c r="B19" s="841" t="s">
        <v>1093</v>
      </c>
      <c r="C19" s="204">
        <f>SUM('PRIHODI 2.str.'!C34,)</f>
        <v>7500000</v>
      </c>
      <c r="D19" s="204">
        <f>SUM('PRIHODI 2.str.'!D34,)</f>
        <v>0</v>
      </c>
      <c r="E19" s="204">
        <f>SUM('PRIHODI 2.str.'!E34,)</f>
        <v>0</v>
      </c>
      <c r="F19" s="204">
        <f>SUM('PRIHODI 2.str.'!F34,)</f>
        <v>7500000</v>
      </c>
      <c r="G19" s="204">
        <f>SUM('PRIHODI 2.str.'!G34,)</f>
        <v>0</v>
      </c>
      <c r="H19" s="204">
        <f>SUM('PRIHODI 2.str.'!H34,)</f>
        <v>0</v>
      </c>
      <c r="I19" s="204">
        <f>SUM('PRIHODI 2.str.'!I34,)</f>
        <v>0</v>
      </c>
      <c r="J19" s="204">
        <f>SUM('PRIHODI 2.str.'!J34,)</f>
        <v>0</v>
      </c>
      <c r="K19" s="204">
        <f>SUM('PRIHODI 2.str.'!K34,)</f>
        <v>7500000</v>
      </c>
      <c r="L19" s="204">
        <f>SUM('PRIHODI 2.str.'!L34,)</f>
        <v>7500000</v>
      </c>
    </row>
    <row r="20" spans="2:12" s="195" customFormat="1" ht="34.5" customHeight="1">
      <c r="B20" s="831" t="s">
        <v>1094</v>
      </c>
      <c r="C20" s="203">
        <f>SUM('PRIHODI 2.str.'!C35,'PRIHODI 2.str.'!C11,)</f>
        <v>1390000</v>
      </c>
      <c r="D20" s="203">
        <f>SUM('PRIHODI 2.str.'!D35,'PRIHODI 2.str.'!D11,)</f>
        <v>0</v>
      </c>
      <c r="E20" s="203">
        <f>SUM('PRIHODI 2.str.'!E35,'PRIHODI 2.str.'!E11,)</f>
        <v>0</v>
      </c>
      <c r="F20" s="203">
        <f>SUM('PRIHODI 2.str.'!F35,'PRIHODI 2.str.'!F11,)</f>
        <v>1390000</v>
      </c>
      <c r="G20" s="203">
        <f>SUM('PRIHODI 2.str.'!G35,'PRIHODI 2.str.'!G11,)</f>
        <v>0</v>
      </c>
      <c r="H20" s="203">
        <f>SUM('PRIHODI 2.str.'!H35,'PRIHODI 2.str.'!H11,)</f>
        <v>0</v>
      </c>
      <c r="I20" s="203">
        <f>SUM('PRIHODI 2.str.'!I35,'PRIHODI 2.str.'!I11,)</f>
        <v>0</v>
      </c>
      <c r="J20" s="203">
        <f>SUM('PRIHODI 2.str.'!J35,'PRIHODI 2.str.'!J11,)</f>
        <v>0</v>
      </c>
      <c r="K20" s="203">
        <f>SUM('PRIHODI 2.str.'!K35,'PRIHODI 2.str.'!K11,)</f>
        <v>1390000</v>
      </c>
      <c r="L20" s="203">
        <f>SUM('PRIHODI 2.str.'!L35,'PRIHODI 2.str.'!L11,)</f>
        <v>1390000</v>
      </c>
    </row>
    <row r="21" spans="2:12" s="195" customFormat="1" ht="34.5" customHeight="1">
      <c r="B21" s="831" t="s">
        <v>1095</v>
      </c>
      <c r="C21" s="203">
        <f>SUM('PRIHODI 2.str.'!C36,'PRIHODI 2.str.'!C37,)</f>
        <v>2050000</v>
      </c>
      <c r="D21" s="203">
        <f>SUM('PRIHODI 2.str.'!D36,'PRIHODI 2.str.'!D37,)</f>
        <v>0</v>
      </c>
      <c r="E21" s="203">
        <f>SUM('PRIHODI 2.str.'!E36,'PRIHODI 2.str.'!E37,)</f>
        <v>0</v>
      </c>
      <c r="F21" s="203">
        <f>SUM('PRIHODI 2.str.'!F36,'PRIHODI 2.str.'!F37,)</f>
        <v>2050000</v>
      </c>
      <c r="G21" s="203">
        <f>SUM('PRIHODI 2.str.'!G36,'PRIHODI 2.str.'!G37,)</f>
        <v>0</v>
      </c>
      <c r="H21" s="203">
        <f>SUM('PRIHODI 2.str.'!H36,'PRIHODI 2.str.'!H37,)</f>
        <v>0</v>
      </c>
      <c r="I21" s="203">
        <f>SUM('PRIHODI 2.str.'!I36,'PRIHODI 2.str.'!I37,)</f>
        <v>0</v>
      </c>
      <c r="J21" s="203">
        <f>SUM('PRIHODI 2.str.'!J36,'PRIHODI 2.str.'!J37,)</f>
        <v>0</v>
      </c>
      <c r="K21" s="203">
        <f>SUM('PRIHODI 2.str.'!K36,'PRIHODI 2.str.'!K37,)</f>
        <v>2050000</v>
      </c>
      <c r="L21" s="203">
        <f>SUM('PRIHODI 2.str.'!L36,'PRIHODI 2.str.'!L37,)</f>
        <v>2050000</v>
      </c>
    </row>
    <row r="22" spans="2:12" s="196" customFormat="1" ht="35.25" customHeight="1">
      <c r="B22" s="205" t="s">
        <v>360</v>
      </c>
      <c r="C22" s="206">
        <f aca="true" t="shared" si="1" ref="C22:L22">SUM(C18:C21)</f>
        <v>68357479.25999999</v>
      </c>
      <c r="D22" s="206">
        <f t="shared" si="1"/>
        <v>6144043.37</v>
      </c>
      <c r="E22" s="206">
        <f t="shared" si="1"/>
        <v>6001252.1</v>
      </c>
      <c r="F22" s="206">
        <f t="shared" si="1"/>
        <v>68500270.53</v>
      </c>
      <c r="G22" s="206">
        <f t="shared" si="1"/>
        <v>8431184.23</v>
      </c>
      <c r="H22" s="206">
        <f t="shared" si="1"/>
        <v>11059.2</v>
      </c>
      <c r="I22" s="206">
        <f t="shared" si="1"/>
        <v>1107850</v>
      </c>
      <c r="J22" s="206">
        <f t="shared" si="1"/>
        <v>7334393.43</v>
      </c>
      <c r="K22" s="206">
        <f t="shared" si="1"/>
        <v>76788663.49000001</v>
      </c>
      <c r="L22" s="206">
        <f t="shared" si="1"/>
        <v>75834663.96000001</v>
      </c>
    </row>
    <row r="23" spans="2:12" s="195" customFormat="1" ht="36" customHeight="1" thickBot="1">
      <c r="B23" s="832" t="s">
        <v>1377</v>
      </c>
      <c r="C23" s="207">
        <f aca="true" t="shared" si="2" ref="C23:L23">C17-C22</f>
        <v>0</v>
      </c>
      <c r="D23" s="207">
        <f t="shared" si="2"/>
        <v>1401781.5699999994</v>
      </c>
      <c r="E23" s="207">
        <f t="shared" si="2"/>
        <v>1401781.5700000003</v>
      </c>
      <c r="F23" s="207">
        <f t="shared" si="2"/>
        <v>0</v>
      </c>
      <c r="G23" s="207">
        <f t="shared" si="2"/>
        <v>0</v>
      </c>
      <c r="H23" s="207">
        <f t="shared" si="2"/>
        <v>47600</v>
      </c>
      <c r="I23" s="207">
        <f t="shared" si="2"/>
        <v>47600</v>
      </c>
      <c r="J23" s="207">
        <f t="shared" si="2"/>
        <v>0</v>
      </c>
      <c r="K23" s="207">
        <f t="shared" si="2"/>
        <v>0</v>
      </c>
      <c r="L23" s="207">
        <f t="shared" si="2"/>
        <v>0</v>
      </c>
    </row>
    <row r="25" ht="51.75" customHeight="1"/>
    <row r="41" ht="12.75" customHeight="1"/>
    <row r="42" ht="12.75" customHeight="1"/>
    <row r="44" ht="27.75" customHeight="1"/>
    <row r="52" ht="12" customHeight="1"/>
  </sheetData>
  <sheetProtection/>
  <mergeCells count="2">
    <mergeCell ref="B3:L3"/>
    <mergeCell ref="B4:L4"/>
  </mergeCells>
  <printOptions/>
  <pageMargins left="1.1023622047244095" right="0.7086614173228347" top="0.7480314960629921" bottom="0.7480314960629921" header="0.31496062992125984" footer="0.31496062992125984"/>
  <pageSetup firstPageNumber="2" useFirstPageNumber="1" horizontalDpi="600" verticalDpi="600" orientation="landscape" paperSize="9" scale="46" r:id="rId1"/>
  <headerFooter alignWithMargins="0">
    <oddHeader>&amp;C&amp;18&amp;P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0"/>
  <sheetViews>
    <sheetView view="pageBreakPreview" zoomScaleSheetLayoutView="100" zoomScalePageLayoutView="0" workbookViewId="0" topLeftCell="H7">
      <selection activeCell="L31" sqref="L31"/>
    </sheetView>
  </sheetViews>
  <sheetFormatPr defaultColWidth="9.140625" defaultRowHeight="12.75"/>
  <cols>
    <col min="1" max="1" width="9.140625" style="80" customWidth="1"/>
    <col min="2" max="2" width="90.140625" style="80" customWidth="1"/>
    <col min="3" max="12" width="24.8515625" style="80" customWidth="1"/>
    <col min="13" max="16384" width="9.140625" style="80" customWidth="1"/>
  </cols>
  <sheetData>
    <row r="1" spans="2:17" ht="75.7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</row>
    <row r="2" spans="2:17" ht="75.75" customHeight="1">
      <c r="B2" s="1504" t="s">
        <v>923</v>
      </c>
      <c r="C2" s="1505"/>
      <c r="D2" s="1505"/>
      <c r="E2" s="1505"/>
      <c r="F2" s="1505"/>
      <c r="G2" s="1505"/>
      <c r="H2" s="1277"/>
      <c r="I2" s="1277"/>
      <c r="J2" s="1277"/>
      <c r="K2" s="78"/>
      <c r="L2" s="78"/>
      <c r="M2" s="78"/>
      <c r="N2" s="78"/>
      <c r="O2" s="78"/>
      <c r="P2" s="78"/>
      <c r="Q2" s="79"/>
    </row>
    <row r="3" spans="2:17" ht="236.25" customHeight="1">
      <c r="B3" s="81"/>
      <c r="C3" s="846" t="s">
        <v>1338</v>
      </c>
      <c r="D3" s="846" t="s">
        <v>1342</v>
      </c>
      <c r="E3" s="846" t="s">
        <v>1343</v>
      </c>
      <c r="F3" s="846" t="s">
        <v>1344</v>
      </c>
      <c r="G3" s="846" t="s">
        <v>1340</v>
      </c>
      <c r="H3" s="846" t="s">
        <v>1345</v>
      </c>
      <c r="I3" s="846" t="s">
        <v>1346</v>
      </c>
      <c r="J3" s="846" t="s">
        <v>1347</v>
      </c>
      <c r="K3" s="846" t="s">
        <v>1339</v>
      </c>
      <c r="L3" s="846" t="s">
        <v>1341</v>
      </c>
      <c r="M3" s="78"/>
      <c r="N3" s="78"/>
      <c r="O3" s="78"/>
      <c r="P3" s="78"/>
      <c r="Q3" s="79"/>
    </row>
    <row r="4" spans="2:17" ht="42.75" customHeight="1">
      <c r="B4" s="82" t="s">
        <v>786</v>
      </c>
      <c r="C4" s="83">
        <f>SUM(C5,C13,C14,C15)</f>
        <v>51671790.1</v>
      </c>
      <c r="D4" s="83">
        <f aca="true" t="shared" si="0" ref="D4:L4">SUM(D5,D13,D14,D15)</f>
        <v>2758627.92</v>
      </c>
      <c r="E4" s="83">
        <f t="shared" si="0"/>
        <v>7103405.75</v>
      </c>
      <c r="F4" s="83">
        <f t="shared" si="0"/>
        <v>47327012.27</v>
      </c>
      <c r="G4" s="83">
        <f t="shared" si="0"/>
        <v>8431184.23</v>
      </c>
      <c r="H4" s="83">
        <f t="shared" si="0"/>
        <v>58659.2</v>
      </c>
      <c r="I4" s="83">
        <f t="shared" si="0"/>
        <v>1155450</v>
      </c>
      <c r="J4" s="83">
        <f t="shared" si="0"/>
        <v>7334393.43</v>
      </c>
      <c r="K4" s="83">
        <f t="shared" si="0"/>
        <v>60102974.330000006</v>
      </c>
      <c r="L4" s="83">
        <f t="shared" si="0"/>
        <v>54661405.7</v>
      </c>
      <c r="M4" s="78"/>
      <c r="N4" s="78"/>
      <c r="O4" s="78"/>
      <c r="P4" s="78"/>
      <c r="Q4" s="79"/>
    </row>
    <row r="5" spans="2:17" ht="36.75" customHeight="1">
      <c r="B5" s="82" t="s">
        <v>941</v>
      </c>
      <c r="C5" s="83">
        <f>SUM(C6:C12)</f>
        <v>31530115</v>
      </c>
      <c r="D5" s="83">
        <f aca="true" t="shared" si="1" ref="D5:L5">SUM(D6:D12)</f>
        <v>218000</v>
      </c>
      <c r="E5" s="83">
        <f t="shared" si="1"/>
        <v>6039705.75</v>
      </c>
      <c r="F5" s="83">
        <f t="shared" si="1"/>
        <v>25708409.25</v>
      </c>
      <c r="G5" s="83">
        <f t="shared" si="1"/>
        <v>0</v>
      </c>
      <c r="H5" s="83">
        <f t="shared" si="1"/>
        <v>0</v>
      </c>
      <c r="I5" s="83">
        <f t="shared" si="1"/>
        <v>0</v>
      </c>
      <c r="J5" s="83">
        <f t="shared" si="1"/>
        <v>0</v>
      </c>
      <c r="K5" s="83">
        <f t="shared" si="1"/>
        <v>31530115</v>
      </c>
      <c r="L5" s="83">
        <f t="shared" si="1"/>
        <v>25708409.25</v>
      </c>
      <c r="M5" s="78"/>
      <c r="N5" s="78"/>
      <c r="O5" s="78"/>
      <c r="P5" s="78"/>
      <c r="Q5" s="79"/>
    </row>
    <row r="6" spans="2:17" ht="30.75" customHeight="1">
      <c r="B6" s="84" t="s">
        <v>797</v>
      </c>
      <c r="C6" s="85">
        <f>SUM(PRIHODI!C6)</f>
        <v>5000</v>
      </c>
      <c r="D6" s="85">
        <f>SUM(PRIHODI!D6)</f>
        <v>0</v>
      </c>
      <c r="E6" s="85">
        <f>SUM(PRIHODI!E6)</f>
        <v>0</v>
      </c>
      <c r="F6" s="85">
        <f>SUM(PRIHODI!F6)</f>
        <v>5000</v>
      </c>
      <c r="G6" s="85">
        <f>SUM(PRIHODI!G6)</f>
        <v>0</v>
      </c>
      <c r="H6" s="85">
        <f>SUM(PRIHODI!H6)</f>
        <v>0</v>
      </c>
      <c r="I6" s="85">
        <f>SUM(PRIHODI!I6)</f>
        <v>0</v>
      </c>
      <c r="J6" s="85">
        <f>SUM(PRIHODI!J6)</f>
        <v>0</v>
      </c>
      <c r="K6" s="85">
        <f>SUM(PRIHODI!K6)</f>
        <v>5000</v>
      </c>
      <c r="L6" s="85">
        <f>SUM(PRIHODI!L6)</f>
        <v>5000</v>
      </c>
      <c r="M6" s="78"/>
      <c r="N6" s="78"/>
      <c r="O6" s="78"/>
      <c r="P6" s="78"/>
      <c r="Q6" s="79"/>
    </row>
    <row r="7" spans="2:17" ht="30.75" customHeight="1">
      <c r="B7" s="84" t="s">
        <v>798</v>
      </c>
      <c r="C7" s="85">
        <f>SUM(PRIHODI!C7)</f>
        <v>20000</v>
      </c>
      <c r="D7" s="85">
        <f>SUM(PRIHODI!D7)</f>
        <v>0</v>
      </c>
      <c r="E7" s="85">
        <f>SUM(PRIHODI!E7)</f>
        <v>0</v>
      </c>
      <c r="F7" s="85">
        <f>SUM(PRIHODI!F7)</f>
        <v>20000</v>
      </c>
      <c r="G7" s="85">
        <f>SUM(PRIHODI!G7)</f>
        <v>0</v>
      </c>
      <c r="H7" s="85">
        <f>SUM(PRIHODI!H7)</f>
        <v>0</v>
      </c>
      <c r="I7" s="85">
        <f>SUM(PRIHODI!I7)</f>
        <v>0</v>
      </c>
      <c r="J7" s="85">
        <f>SUM(PRIHODI!J7)</f>
        <v>0</v>
      </c>
      <c r="K7" s="85">
        <f>SUM(PRIHODI!K7)</f>
        <v>20000</v>
      </c>
      <c r="L7" s="85">
        <f>SUM(PRIHODI!L7)</f>
        <v>20000</v>
      </c>
      <c r="M7" s="78"/>
      <c r="N7" s="78"/>
      <c r="O7" s="78"/>
      <c r="P7" s="78"/>
      <c r="Q7" s="79"/>
    </row>
    <row r="8" spans="2:17" ht="30.75" customHeight="1">
      <c r="B8" s="84" t="s">
        <v>800</v>
      </c>
      <c r="C8" s="85">
        <f>SUM(PRIHODI!C8)</f>
        <v>6690000</v>
      </c>
      <c r="D8" s="85">
        <f>SUM(PRIHODI!D8)</f>
        <v>218000</v>
      </c>
      <c r="E8" s="85">
        <f>SUM(PRIHODI!E8)</f>
        <v>682861.75</v>
      </c>
      <c r="F8" s="85">
        <f>SUM(PRIHODI!F8)</f>
        <v>6225138.25</v>
      </c>
      <c r="G8" s="85">
        <f>SUM(PRIHODI!G8)</f>
        <v>0</v>
      </c>
      <c r="H8" s="85">
        <f>SUM(PRIHODI!H8)</f>
        <v>0</v>
      </c>
      <c r="I8" s="85">
        <f>SUM(PRIHODI!I8)</f>
        <v>0</v>
      </c>
      <c r="J8" s="85">
        <f>SUM(PRIHODI!J8)</f>
        <v>0</v>
      </c>
      <c r="K8" s="85">
        <f>SUM(PRIHODI!K8)</f>
        <v>6690000</v>
      </c>
      <c r="L8" s="85">
        <f>SUM(PRIHODI!L8)</f>
        <v>6225138.25</v>
      </c>
      <c r="M8" s="78"/>
      <c r="N8" s="78"/>
      <c r="O8" s="78"/>
      <c r="P8" s="78"/>
      <c r="Q8" s="79"/>
    </row>
    <row r="9" spans="2:17" ht="30.75" customHeight="1">
      <c r="B9" s="84" t="s">
        <v>799</v>
      </c>
      <c r="C9" s="85">
        <f>SUM(PRIHODI!C9:C10)</f>
        <v>51000</v>
      </c>
      <c r="D9" s="85">
        <f>SUM(PRIHODI!D9:D10)</f>
        <v>0</v>
      </c>
      <c r="E9" s="85">
        <f>SUM(PRIHODI!E9:E10)</f>
        <v>29000</v>
      </c>
      <c r="F9" s="85">
        <f>SUM(PRIHODI!F9:F10)</f>
        <v>22000</v>
      </c>
      <c r="G9" s="85">
        <f>SUM(PRIHODI!G9:G10)</f>
        <v>0</v>
      </c>
      <c r="H9" s="85">
        <f>SUM(PRIHODI!H9:H10)</f>
        <v>0</v>
      </c>
      <c r="I9" s="85">
        <f>SUM(PRIHODI!I9:I10)</f>
        <v>0</v>
      </c>
      <c r="J9" s="85">
        <f>SUM(PRIHODI!J9:J10)</f>
        <v>0</v>
      </c>
      <c r="K9" s="85">
        <f>SUM(PRIHODI!K9:K10)</f>
        <v>51000</v>
      </c>
      <c r="L9" s="85">
        <f>SUM(PRIHODI!L9:L10)</f>
        <v>22000</v>
      </c>
      <c r="M9" s="78"/>
      <c r="N9" s="78"/>
      <c r="O9" s="78"/>
      <c r="P9" s="78"/>
      <c r="Q9" s="79"/>
    </row>
    <row r="10" spans="2:17" ht="30" customHeight="1">
      <c r="B10" s="84" t="s">
        <v>801</v>
      </c>
      <c r="C10" s="85">
        <f>SUM(PRIHODI!C11)</f>
        <v>10758495</v>
      </c>
      <c r="D10" s="85">
        <f>SUM(PRIHODI!D11)</f>
        <v>0</v>
      </c>
      <c r="E10" s="85">
        <f>SUM(PRIHODI!E11)</f>
        <v>3259529</v>
      </c>
      <c r="F10" s="85">
        <f>SUM(PRIHODI!F11)</f>
        <v>7498966</v>
      </c>
      <c r="G10" s="85">
        <f>SUM(PRIHODI!G11)</f>
        <v>0</v>
      </c>
      <c r="H10" s="85">
        <f>SUM(PRIHODI!H11)</f>
        <v>0</v>
      </c>
      <c r="I10" s="85">
        <f>SUM(PRIHODI!I11)</f>
        <v>0</v>
      </c>
      <c r="J10" s="85">
        <f>SUM(PRIHODI!J11)</f>
        <v>0</v>
      </c>
      <c r="K10" s="85">
        <f>SUM(PRIHODI!K11)</f>
        <v>10758495</v>
      </c>
      <c r="L10" s="85">
        <f>SUM(PRIHODI!L11)</f>
        <v>7498966</v>
      </c>
      <c r="M10" s="78"/>
      <c r="N10" s="78"/>
      <c r="O10" s="78"/>
      <c r="P10" s="78"/>
      <c r="Q10" s="79"/>
    </row>
    <row r="11" spans="2:17" ht="30" customHeight="1">
      <c r="B11" s="84" t="s">
        <v>802</v>
      </c>
      <c r="C11" s="85">
        <f>SUM(PRIHODI!C12)</f>
        <v>14003120</v>
      </c>
      <c r="D11" s="85">
        <f>SUM(PRIHODI!D12)</f>
        <v>0</v>
      </c>
      <c r="E11" s="85">
        <f>SUM(PRIHODI!E12)</f>
        <v>2068315</v>
      </c>
      <c r="F11" s="85">
        <f>SUM(PRIHODI!F12)</f>
        <v>11934805</v>
      </c>
      <c r="G11" s="85">
        <f>SUM(PRIHODI!G12)</f>
        <v>0</v>
      </c>
      <c r="H11" s="85">
        <f>SUM(PRIHODI!H12)</f>
        <v>0</v>
      </c>
      <c r="I11" s="85">
        <f>SUM(PRIHODI!I12)</f>
        <v>0</v>
      </c>
      <c r="J11" s="85">
        <f>SUM(PRIHODI!J12)</f>
        <v>0</v>
      </c>
      <c r="K11" s="85">
        <f>SUM(PRIHODI!K12)</f>
        <v>14003120</v>
      </c>
      <c r="L11" s="85">
        <f>SUM(PRIHODI!L12)</f>
        <v>11934805</v>
      </c>
      <c r="M11" s="78"/>
      <c r="N11" s="78"/>
      <c r="O11" s="78"/>
      <c r="P11" s="78"/>
      <c r="Q11" s="79"/>
    </row>
    <row r="12" spans="2:17" ht="30" customHeight="1">
      <c r="B12" s="84" t="s">
        <v>925</v>
      </c>
      <c r="C12" s="85">
        <f>SUM(PRIHODI!C13)</f>
        <v>2500</v>
      </c>
      <c r="D12" s="85">
        <f>SUM(PRIHODI!D13)</f>
        <v>0</v>
      </c>
      <c r="E12" s="85">
        <f>SUM(PRIHODI!E13)</f>
        <v>0</v>
      </c>
      <c r="F12" s="85">
        <f>SUM(PRIHODI!F13)</f>
        <v>2500</v>
      </c>
      <c r="G12" s="85">
        <f>SUM(PRIHODI!G13)</f>
        <v>0</v>
      </c>
      <c r="H12" s="85">
        <f>SUM(PRIHODI!H13)</f>
        <v>0</v>
      </c>
      <c r="I12" s="85">
        <f>SUM(PRIHODI!I13)</f>
        <v>0</v>
      </c>
      <c r="J12" s="85">
        <f>SUM(PRIHODI!J13)</f>
        <v>0</v>
      </c>
      <c r="K12" s="85">
        <f>SUM(PRIHODI!K13)</f>
        <v>2500</v>
      </c>
      <c r="L12" s="85">
        <f>SUM(PRIHODI!L13)</f>
        <v>2500</v>
      </c>
      <c r="M12" s="78"/>
      <c r="N12" s="78"/>
      <c r="O12" s="78"/>
      <c r="P12" s="78"/>
      <c r="Q12" s="79"/>
    </row>
    <row r="13" spans="2:17" ht="36" customHeight="1">
      <c r="B13" s="82" t="s">
        <v>803</v>
      </c>
      <c r="C13" s="83">
        <f>SUM(PRIHODI!C26)</f>
        <v>20141675.1</v>
      </c>
      <c r="D13" s="83">
        <f>SUM(PRIHODI!D26)</f>
        <v>2540627.92</v>
      </c>
      <c r="E13" s="83">
        <f>SUM(PRIHODI!E26)</f>
        <v>1063700</v>
      </c>
      <c r="F13" s="83">
        <f>SUM(PRIHODI!F26)</f>
        <v>21618603.020000003</v>
      </c>
      <c r="G13" s="83">
        <f>SUM(PRIHODI!G26)</f>
        <v>2630800</v>
      </c>
      <c r="H13" s="83">
        <f>SUM(PRIHODI!H26)</f>
        <v>0</v>
      </c>
      <c r="I13" s="83">
        <f>SUM(PRIHODI!I26)</f>
        <v>100000</v>
      </c>
      <c r="J13" s="83">
        <f>SUM(PRIHODI!J26)</f>
        <v>2530800</v>
      </c>
      <c r="K13" s="83">
        <f>SUM(PRIHODI!K26)</f>
        <v>22772475.1</v>
      </c>
      <c r="L13" s="83">
        <f>SUM(PRIHODI!L26)</f>
        <v>24149403.020000003</v>
      </c>
      <c r="M13" s="78"/>
      <c r="N13" s="78"/>
      <c r="O13" s="78"/>
      <c r="P13" s="78"/>
      <c r="Q13" s="79"/>
    </row>
    <row r="14" spans="2:17" ht="30" customHeight="1">
      <c r="B14" s="84" t="s">
        <v>804</v>
      </c>
      <c r="C14" s="85">
        <f>SUM(PRIHODI!C31)</f>
        <v>0</v>
      </c>
      <c r="D14" s="85">
        <f>SUM(PRIHODI!D31)</f>
        <v>0</v>
      </c>
      <c r="E14" s="85">
        <f>SUM(PRIHODI!E31)</f>
        <v>0</v>
      </c>
      <c r="F14" s="85">
        <f>SUM(PRIHODI!F31)</f>
        <v>0</v>
      </c>
      <c r="G14" s="85">
        <f>SUM(PRIHODI!G31)</f>
        <v>1312833.7000000002</v>
      </c>
      <c r="H14" s="85">
        <f>SUM(PRIHODI!H31)</f>
        <v>47600</v>
      </c>
      <c r="I14" s="85">
        <f>SUM(PRIHODI!I31)</f>
        <v>47600</v>
      </c>
      <c r="J14" s="85">
        <f>SUM(PRIHODI!J31)</f>
        <v>1312833.7000000002</v>
      </c>
      <c r="K14" s="85">
        <f>SUM(PRIHODI!K31)</f>
        <v>1312833.7000000002</v>
      </c>
      <c r="L14" s="85">
        <f>SUM(PRIHODI!L31)</f>
        <v>1312833.7000000002</v>
      </c>
      <c r="M14" s="78"/>
      <c r="N14" s="78"/>
      <c r="O14" s="78"/>
      <c r="P14" s="78"/>
      <c r="Q14" s="79"/>
    </row>
    <row r="15" spans="2:17" ht="30" customHeight="1">
      <c r="B15" s="84" t="s">
        <v>805</v>
      </c>
      <c r="C15" s="85">
        <f>SUM(PRIHODI!C36)</f>
        <v>0</v>
      </c>
      <c r="D15" s="85">
        <f>SUM(PRIHODI!D36)</f>
        <v>0</v>
      </c>
      <c r="E15" s="85">
        <f>SUM(PRIHODI!E36)</f>
        <v>0</v>
      </c>
      <c r="F15" s="85">
        <f>SUM(PRIHODI!F36)</f>
        <v>0</v>
      </c>
      <c r="G15" s="85">
        <f>SUM(PRIHODI!G36)</f>
        <v>4487550.529999999</v>
      </c>
      <c r="H15" s="85">
        <f>SUM(PRIHODI!H36)</f>
        <v>11059.2</v>
      </c>
      <c r="I15" s="85">
        <f>SUM(PRIHODI!I36)</f>
        <v>1007850</v>
      </c>
      <c r="J15" s="85">
        <f>SUM(PRIHODI!J36)</f>
        <v>3490759.73</v>
      </c>
      <c r="K15" s="85">
        <f>SUM(PRIHODI!K36)</f>
        <v>4487550.529999999</v>
      </c>
      <c r="L15" s="85">
        <f>SUM(PRIHODI!L36)</f>
        <v>3490759.73</v>
      </c>
      <c r="M15" s="78"/>
      <c r="N15" s="78"/>
      <c r="O15" s="78"/>
      <c r="P15" s="78"/>
      <c r="Q15" s="79"/>
    </row>
    <row r="16" spans="2:17" ht="36" customHeight="1">
      <c r="B16" s="82" t="s">
        <v>787</v>
      </c>
      <c r="C16" s="83">
        <f>SUM(C17:C18)</f>
        <v>42597117.85</v>
      </c>
      <c r="D16" s="83">
        <f aca="true" t="shared" si="2" ref="D16:L16">SUM(D17:D18)</f>
        <v>5463043.37</v>
      </c>
      <c r="E16" s="83">
        <f t="shared" si="2"/>
        <v>3437000</v>
      </c>
      <c r="F16" s="83">
        <f t="shared" si="2"/>
        <v>44623161.22</v>
      </c>
      <c r="G16" s="83">
        <f t="shared" si="2"/>
        <v>3910633.7</v>
      </c>
      <c r="H16" s="83">
        <f t="shared" si="2"/>
        <v>0</v>
      </c>
      <c r="I16" s="83">
        <f t="shared" si="2"/>
        <v>100000</v>
      </c>
      <c r="J16" s="83">
        <f t="shared" si="2"/>
        <v>3810633.7</v>
      </c>
      <c r="K16" s="83">
        <f t="shared" si="2"/>
        <v>46507751.55</v>
      </c>
      <c r="L16" s="83">
        <f t="shared" si="2"/>
        <v>48433794.92</v>
      </c>
      <c r="M16" s="78"/>
      <c r="N16" s="78"/>
      <c r="O16" s="78"/>
      <c r="P16" s="78"/>
      <c r="Q16" s="79"/>
    </row>
    <row r="17" spans="2:17" ht="30" customHeight="1">
      <c r="B17" s="84" t="s">
        <v>788</v>
      </c>
      <c r="C17" s="85">
        <f>SUM('EKON.KOD'!C21)</f>
        <v>42447117.85</v>
      </c>
      <c r="D17" s="85">
        <f>SUM('EKON.KOD'!D21)</f>
        <v>5463043.37</v>
      </c>
      <c r="E17" s="85">
        <f>SUM('EKON.KOD'!E21)</f>
        <v>3437000</v>
      </c>
      <c r="F17" s="85">
        <f>SUM('EKON.KOD'!F21)</f>
        <v>44473161.22</v>
      </c>
      <c r="G17" s="85">
        <f>SUM('EKON.KOD'!G21)</f>
        <v>3910633.7</v>
      </c>
      <c r="H17" s="85">
        <f>SUM('EKON.KOD'!H21)</f>
        <v>0</v>
      </c>
      <c r="I17" s="85">
        <f>SUM('EKON.KOD'!I21)</f>
        <v>100000</v>
      </c>
      <c r="J17" s="85">
        <f>SUM('EKON.KOD'!J21)</f>
        <v>3810633.7</v>
      </c>
      <c r="K17" s="85">
        <f>SUM('EKON.KOD'!K21)</f>
        <v>46357751.55</v>
      </c>
      <c r="L17" s="85">
        <f>SUM('EKON.KOD'!L21)</f>
        <v>48283794.92</v>
      </c>
      <c r="M17" s="78"/>
      <c r="N17" s="78"/>
      <c r="O17" s="78"/>
      <c r="P17" s="78"/>
      <c r="Q17" s="79"/>
    </row>
    <row r="18" spans="2:17" ht="30" customHeight="1">
      <c r="B18" s="84" t="s">
        <v>789</v>
      </c>
      <c r="C18" s="85">
        <f>SUM('EKON.KOD'!C31)</f>
        <v>150000</v>
      </c>
      <c r="D18" s="85">
        <f>SUM('EKON.KOD'!D31)</f>
        <v>0</v>
      </c>
      <c r="E18" s="85">
        <f>SUM('EKON.KOD'!E31)</f>
        <v>0</v>
      </c>
      <c r="F18" s="85">
        <f>SUM('EKON.KOD'!F31)</f>
        <v>150000</v>
      </c>
      <c r="G18" s="85">
        <f>SUM('EKON.KOD'!G31)</f>
        <v>0</v>
      </c>
      <c r="H18" s="85">
        <f>SUM('EKON.KOD'!H31)</f>
        <v>0</v>
      </c>
      <c r="I18" s="85">
        <f>SUM('EKON.KOD'!I31)</f>
        <v>0</v>
      </c>
      <c r="J18" s="85">
        <f>SUM('EKON.KOD'!J31)</f>
        <v>0</v>
      </c>
      <c r="K18" s="85">
        <f>SUM('EKON.KOD'!K31)</f>
        <v>150000</v>
      </c>
      <c r="L18" s="85">
        <f>SUM('EKON.KOD'!L31)</f>
        <v>150000</v>
      </c>
      <c r="M18" s="78"/>
      <c r="N18" s="78"/>
      <c r="O18" s="78"/>
      <c r="P18" s="78"/>
      <c r="Q18" s="79"/>
    </row>
    <row r="19" spans="2:17" ht="36" customHeight="1">
      <c r="B19" s="86" t="s">
        <v>790</v>
      </c>
      <c r="C19" s="87">
        <f>C4-C16</f>
        <v>9074672.25</v>
      </c>
      <c r="D19" s="87">
        <f aca="true" t="shared" si="3" ref="D19:L19">D4-D16</f>
        <v>-2704415.45</v>
      </c>
      <c r="E19" s="87">
        <f t="shared" si="3"/>
        <v>3666405.75</v>
      </c>
      <c r="F19" s="87">
        <f t="shared" si="3"/>
        <v>2703851.0500000045</v>
      </c>
      <c r="G19" s="87">
        <f t="shared" si="3"/>
        <v>4520550.53</v>
      </c>
      <c r="H19" s="87">
        <f t="shared" si="3"/>
        <v>58659.2</v>
      </c>
      <c r="I19" s="87">
        <f t="shared" si="3"/>
        <v>1055450</v>
      </c>
      <c r="J19" s="87">
        <f t="shared" si="3"/>
        <v>3523759.7299999995</v>
      </c>
      <c r="K19" s="87">
        <f t="shared" si="3"/>
        <v>13595222.780000009</v>
      </c>
      <c r="L19" s="87">
        <f t="shared" si="3"/>
        <v>6227610.780000001</v>
      </c>
      <c r="M19" s="78"/>
      <c r="N19" s="78"/>
      <c r="O19" s="78"/>
      <c r="P19" s="78"/>
      <c r="Q19" s="79"/>
    </row>
    <row r="20" spans="2:17" ht="30" customHeight="1">
      <c r="B20" s="84" t="s">
        <v>791</v>
      </c>
      <c r="C20" s="85">
        <f>SUM(PRIHODI!C477)</f>
        <v>2550000</v>
      </c>
      <c r="D20" s="85">
        <f>SUM(PRIHODI!D477)</f>
        <v>600000</v>
      </c>
      <c r="E20" s="85">
        <f>SUM(PRIHODI!E477)</f>
        <v>0</v>
      </c>
      <c r="F20" s="85">
        <f>SUM(PRIHODI!F477)</f>
        <v>3150000</v>
      </c>
      <c r="G20" s="85">
        <f>SUM(PRIHODI!G477)</f>
        <v>0</v>
      </c>
      <c r="H20" s="85">
        <f>SUM(PRIHODI!H477)</f>
        <v>0</v>
      </c>
      <c r="I20" s="85">
        <f>SUM(PRIHODI!I477)</f>
        <v>0</v>
      </c>
      <c r="J20" s="85">
        <f>SUM(PRIHODI!J477)</f>
        <v>0</v>
      </c>
      <c r="K20" s="85">
        <f>SUM(PRIHODI!K477)</f>
        <v>2550000</v>
      </c>
      <c r="L20" s="85">
        <f>SUM(PRIHODI!L477)</f>
        <v>3150000</v>
      </c>
      <c r="M20" s="78"/>
      <c r="N20" s="78"/>
      <c r="O20" s="78"/>
      <c r="P20" s="78"/>
      <c r="Q20" s="79"/>
    </row>
    <row r="21" spans="2:17" ht="30" customHeight="1">
      <c r="B21" s="84" t="s">
        <v>792</v>
      </c>
      <c r="C21" s="85">
        <f>SUM('EKON.KOD'!C26)</f>
        <v>22320361.410000004</v>
      </c>
      <c r="D21" s="85">
        <f>SUM('EKON.KOD'!D26)</f>
        <v>681000</v>
      </c>
      <c r="E21" s="85">
        <f>SUM('EKON.KOD'!E26)</f>
        <v>2564252.1</v>
      </c>
      <c r="F21" s="85">
        <f>SUM('EKON.KOD'!F26)</f>
        <v>20437109.310000002</v>
      </c>
      <c r="G21" s="85">
        <f>SUM('EKON.KOD'!G26)</f>
        <v>4520550.53</v>
      </c>
      <c r="H21" s="85">
        <f>SUM('EKON.KOD'!H26)</f>
        <v>11059.2</v>
      </c>
      <c r="I21" s="85">
        <f>SUM('EKON.KOD'!I26)</f>
        <v>1007850</v>
      </c>
      <c r="J21" s="85">
        <f>SUM('EKON.KOD'!J26)</f>
        <v>3523759.73</v>
      </c>
      <c r="K21" s="85">
        <f>SUM('EKON.KOD'!K26)</f>
        <v>26840911.94</v>
      </c>
      <c r="L21" s="85">
        <f>SUM('EKON.KOD'!L26)</f>
        <v>23960869.040000003</v>
      </c>
      <c r="M21" s="78"/>
      <c r="N21" s="78"/>
      <c r="O21" s="78"/>
      <c r="P21" s="78"/>
      <c r="Q21" s="79"/>
    </row>
    <row r="22" spans="2:17" ht="36" customHeight="1">
      <c r="B22" s="82" t="s">
        <v>793</v>
      </c>
      <c r="C22" s="85">
        <f>C20-C21</f>
        <v>-19770361.410000004</v>
      </c>
      <c r="D22" s="85">
        <f aca="true" t="shared" si="4" ref="D22:L22">D20-D21</f>
        <v>-81000</v>
      </c>
      <c r="E22" s="85">
        <f t="shared" si="4"/>
        <v>-2564252.1</v>
      </c>
      <c r="F22" s="85">
        <f t="shared" si="4"/>
        <v>-17287109.310000002</v>
      </c>
      <c r="G22" s="85">
        <f t="shared" si="4"/>
        <v>-4520550.53</v>
      </c>
      <c r="H22" s="85">
        <f t="shared" si="4"/>
        <v>-11059.2</v>
      </c>
      <c r="I22" s="85">
        <f t="shared" si="4"/>
        <v>-1007850</v>
      </c>
      <c r="J22" s="85">
        <f t="shared" si="4"/>
        <v>-3523759.73</v>
      </c>
      <c r="K22" s="85">
        <f t="shared" si="4"/>
        <v>-24290911.94</v>
      </c>
      <c r="L22" s="85">
        <f t="shared" si="4"/>
        <v>-20810869.040000003</v>
      </c>
      <c r="M22" s="78"/>
      <c r="N22" s="78"/>
      <c r="O22" s="78"/>
      <c r="P22" s="78"/>
      <c r="Q22" s="79"/>
    </row>
    <row r="23" spans="2:17" ht="36" customHeight="1">
      <c r="B23" s="86" t="s">
        <v>794</v>
      </c>
      <c r="C23" s="88">
        <f>C19+C22</f>
        <v>-10695689.160000004</v>
      </c>
      <c r="D23" s="88">
        <f aca="true" t="shared" si="5" ref="D23:L23">D19+D22</f>
        <v>-2785415.45</v>
      </c>
      <c r="E23" s="88">
        <f t="shared" si="5"/>
        <v>1102153.65</v>
      </c>
      <c r="F23" s="88">
        <f t="shared" si="5"/>
        <v>-14583258.259999998</v>
      </c>
      <c r="G23" s="88">
        <f t="shared" si="5"/>
        <v>0</v>
      </c>
      <c r="H23" s="88">
        <f t="shared" si="5"/>
        <v>47600</v>
      </c>
      <c r="I23" s="88">
        <f t="shared" si="5"/>
        <v>47600</v>
      </c>
      <c r="J23" s="88">
        <f t="shared" si="5"/>
        <v>0</v>
      </c>
      <c r="K23" s="88">
        <f t="shared" si="5"/>
        <v>-10695689.159999993</v>
      </c>
      <c r="L23" s="88">
        <f t="shared" si="5"/>
        <v>-14583258.260000002</v>
      </c>
      <c r="M23" s="78"/>
      <c r="N23" s="78"/>
      <c r="O23" s="78"/>
      <c r="P23" s="78"/>
      <c r="Q23" s="79"/>
    </row>
    <row r="24" spans="2:17" ht="49.5" customHeight="1">
      <c r="B24" s="82" t="s">
        <v>806</v>
      </c>
      <c r="C24" s="83">
        <f aca="true" t="shared" si="6" ref="C24:L24">SUM(C25)</f>
        <v>7000000</v>
      </c>
      <c r="D24" s="83">
        <f t="shared" si="6"/>
        <v>0</v>
      </c>
      <c r="E24" s="83">
        <f t="shared" si="6"/>
        <v>0</v>
      </c>
      <c r="F24" s="83">
        <f t="shared" si="6"/>
        <v>7000000</v>
      </c>
      <c r="G24" s="83">
        <f t="shared" si="6"/>
        <v>0</v>
      </c>
      <c r="H24" s="83">
        <f t="shared" si="6"/>
        <v>0</v>
      </c>
      <c r="I24" s="83">
        <f t="shared" si="6"/>
        <v>0</v>
      </c>
      <c r="J24" s="83">
        <f t="shared" si="6"/>
        <v>0</v>
      </c>
      <c r="K24" s="83">
        <f t="shared" si="6"/>
        <v>7000000</v>
      </c>
      <c r="L24" s="83">
        <f t="shared" si="6"/>
        <v>7000000</v>
      </c>
      <c r="M24" s="78"/>
      <c r="N24" s="78"/>
      <c r="O24" s="78"/>
      <c r="P24" s="78"/>
      <c r="Q24" s="79"/>
    </row>
    <row r="25" spans="2:17" ht="43.5" customHeight="1">
      <c r="B25" s="84" t="s">
        <v>856</v>
      </c>
      <c r="C25" s="85">
        <f>SUM(PRIHODI!C478)</f>
        <v>7000000</v>
      </c>
      <c r="D25" s="85">
        <f>SUM(PRIHODI!D478)</f>
        <v>0</v>
      </c>
      <c r="E25" s="85">
        <f>SUM(PRIHODI!E478)</f>
        <v>0</v>
      </c>
      <c r="F25" s="85">
        <f>SUM(PRIHODI!F478)</f>
        <v>7000000</v>
      </c>
      <c r="G25" s="85">
        <f>SUM(PRIHODI!G478)</f>
        <v>0</v>
      </c>
      <c r="H25" s="85">
        <f>SUM(PRIHODI!H478)</f>
        <v>0</v>
      </c>
      <c r="I25" s="85">
        <f>SUM(PRIHODI!I478)</f>
        <v>0</v>
      </c>
      <c r="J25" s="85">
        <f>SUM(PRIHODI!J478)</f>
        <v>0</v>
      </c>
      <c r="K25" s="85">
        <f>SUM(PRIHODI!K478)</f>
        <v>7000000</v>
      </c>
      <c r="L25" s="85">
        <f>SUM(PRIHODI!L478)</f>
        <v>7000000</v>
      </c>
      <c r="M25" s="78"/>
      <c r="N25" s="78"/>
      <c r="O25" s="78"/>
      <c r="P25" s="78"/>
      <c r="Q25" s="79"/>
    </row>
    <row r="26" spans="2:17" ht="54.75" customHeight="1">
      <c r="B26" s="82" t="s">
        <v>884</v>
      </c>
      <c r="C26" s="89">
        <f aca="true" t="shared" si="7" ref="C26:L26">SUM(C27:C27)</f>
        <v>3440000</v>
      </c>
      <c r="D26" s="89">
        <f t="shared" si="7"/>
        <v>0</v>
      </c>
      <c r="E26" s="89">
        <f t="shared" si="7"/>
        <v>0</v>
      </c>
      <c r="F26" s="89">
        <f t="shared" si="7"/>
        <v>3440000</v>
      </c>
      <c r="G26" s="89">
        <f t="shared" si="7"/>
        <v>0</v>
      </c>
      <c r="H26" s="89">
        <f t="shared" si="7"/>
        <v>0</v>
      </c>
      <c r="I26" s="89">
        <f t="shared" si="7"/>
        <v>0</v>
      </c>
      <c r="J26" s="89">
        <f t="shared" si="7"/>
        <v>0</v>
      </c>
      <c r="K26" s="89">
        <f t="shared" si="7"/>
        <v>3440000</v>
      </c>
      <c r="L26" s="89">
        <f t="shared" si="7"/>
        <v>3440000</v>
      </c>
      <c r="M26" s="78"/>
      <c r="N26" s="78"/>
      <c r="O26" s="78"/>
      <c r="P26" s="78"/>
      <c r="Q26" s="79"/>
    </row>
    <row r="27" spans="2:17" ht="29.25" customHeight="1">
      <c r="B27" s="84" t="s">
        <v>807</v>
      </c>
      <c r="C27" s="85">
        <f>SUM('EKON.KOD'!C30)</f>
        <v>3440000</v>
      </c>
      <c r="D27" s="85">
        <f>SUM('EKON.KOD'!D30)</f>
        <v>0</v>
      </c>
      <c r="E27" s="85">
        <f>SUM('EKON.KOD'!E30)</f>
        <v>0</v>
      </c>
      <c r="F27" s="85">
        <f>SUM('EKON.KOD'!F30)</f>
        <v>3440000</v>
      </c>
      <c r="G27" s="85">
        <f>SUM('EKON.KOD'!G30)</f>
        <v>0</v>
      </c>
      <c r="H27" s="85">
        <f>SUM('EKON.KOD'!H30)</f>
        <v>0</v>
      </c>
      <c r="I27" s="85">
        <f>SUM('EKON.KOD'!I30)</f>
        <v>0</v>
      </c>
      <c r="J27" s="85">
        <f>SUM('EKON.KOD'!J30)</f>
        <v>0</v>
      </c>
      <c r="K27" s="85">
        <f>SUM('EKON.KOD'!K30)</f>
        <v>3440000</v>
      </c>
      <c r="L27" s="85">
        <f>SUM('EKON.KOD'!L30)</f>
        <v>3440000</v>
      </c>
      <c r="M27" s="78"/>
      <c r="N27" s="78"/>
      <c r="O27" s="78"/>
      <c r="P27" s="78"/>
      <c r="Q27" s="79"/>
    </row>
    <row r="28" spans="2:17" ht="36" customHeight="1">
      <c r="B28" s="86" t="s">
        <v>795</v>
      </c>
      <c r="C28" s="87">
        <f>C24-C26</f>
        <v>3560000</v>
      </c>
      <c r="D28" s="87">
        <f aca="true" t="shared" si="8" ref="D28:L28">D24-D26</f>
        <v>0</v>
      </c>
      <c r="E28" s="87">
        <f t="shared" si="8"/>
        <v>0</v>
      </c>
      <c r="F28" s="87">
        <f t="shared" si="8"/>
        <v>3560000</v>
      </c>
      <c r="G28" s="87">
        <f t="shared" si="8"/>
        <v>0</v>
      </c>
      <c r="H28" s="87">
        <f t="shared" si="8"/>
        <v>0</v>
      </c>
      <c r="I28" s="87">
        <f t="shared" si="8"/>
        <v>0</v>
      </c>
      <c r="J28" s="87">
        <f t="shared" si="8"/>
        <v>0</v>
      </c>
      <c r="K28" s="87">
        <f t="shared" si="8"/>
        <v>3560000</v>
      </c>
      <c r="L28" s="87">
        <f t="shared" si="8"/>
        <v>3560000</v>
      </c>
      <c r="M28" s="78"/>
      <c r="N28" s="78"/>
      <c r="O28" s="78"/>
      <c r="P28" s="78"/>
      <c r="Q28" s="79"/>
    </row>
    <row r="29" spans="2:17" ht="36" customHeight="1" thickBot="1">
      <c r="B29" s="1106" t="s">
        <v>796</v>
      </c>
      <c r="C29" s="1107">
        <f>C23+C28</f>
        <v>-7135689.160000004</v>
      </c>
      <c r="D29" s="1107">
        <f aca="true" t="shared" si="9" ref="D29:L29">D23+D28</f>
        <v>-2785415.45</v>
      </c>
      <c r="E29" s="1107">
        <f t="shared" si="9"/>
        <v>1102153.65</v>
      </c>
      <c r="F29" s="1107">
        <f t="shared" si="9"/>
        <v>-11023258.259999998</v>
      </c>
      <c r="G29" s="1107">
        <f t="shared" si="9"/>
        <v>0</v>
      </c>
      <c r="H29" s="1107">
        <f t="shared" si="9"/>
        <v>47600</v>
      </c>
      <c r="I29" s="1107">
        <f t="shared" si="9"/>
        <v>47600</v>
      </c>
      <c r="J29" s="1107">
        <f t="shared" si="9"/>
        <v>0</v>
      </c>
      <c r="K29" s="1107">
        <f t="shared" si="9"/>
        <v>-7135689.159999993</v>
      </c>
      <c r="L29" s="1107">
        <f t="shared" si="9"/>
        <v>-11023258.260000002</v>
      </c>
      <c r="M29" s="78"/>
      <c r="N29" s="78"/>
      <c r="O29" s="78"/>
      <c r="P29" s="78"/>
      <c r="Q29" s="79"/>
    </row>
    <row r="30" spans="2:17" ht="48" customHeight="1" thickBot="1">
      <c r="B30" s="1106" t="s">
        <v>1196</v>
      </c>
      <c r="C30" s="1107">
        <v>7135689.16</v>
      </c>
      <c r="D30" s="1107"/>
      <c r="E30" s="1107"/>
      <c r="F30" s="1107">
        <v>11023258.26</v>
      </c>
      <c r="G30" s="1107"/>
      <c r="H30" s="1107"/>
      <c r="I30" s="1107"/>
      <c r="J30" s="1107"/>
      <c r="K30" s="1107">
        <v>7135689.16</v>
      </c>
      <c r="L30" s="1107">
        <v>11023258.26</v>
      </c>
      <c r="M30" s="78"/>
      <c r="N30" s="78"/>
      <c r="O30" s="78"/>
      <c r="P30" s="78"/>
      <c r="Q30" s="79"/>
    </row>
  </sheetData>
  <sheetProtection/>
  <mergeCells count="1">
    <mergeCell ref="B2:G2"/>
  </mergeCells>
  <printOptions horizontalCentered="1"/>
  <pageMargins left="0.7480314960629921" right="0.7480314960629921" top="0.984251968503937" bottom="0.984251968503937" header="0.5118110236220472" footer="0.5118110236220472"/>
  <pageSetup firstPageNumber="3" useFirstPageNumber="1" horizontalDpi="600" verticalDpi="600" orientation="landscape" paperSize="9" scale="35" r:id="rId1"/>
  <headerFooter>
    <oddHeader>&amp;C&amp;18&amp;P</oddHeader>
  </headerFooter>
  <colBreaks count="2" manualBreakCount="2">
    <brk id="1" max="29" man="1"/>
    <brk id="12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C31"/>
  <sheetViews>
    <sheetView view="pageBreakPreview" zoomScale="82" zoomScaleSheetLayoutView="82" zoomScalePageLayoutView="0" workbookViewId="0" topLeftCell="A1">
      <selection activeCell="B5" sqref="B5"/>
    </sheetView>
  </sheetViews>
  <sheetFormatPr defaultColWidth="9.140625" defaultRowHeight="12.75"/>
  <cols>
    <col min="1" max="1" width="9.140625" style="208" customWidth="1"/>
    <col min="2" max="2" width="53.00390625" style="208" customWidth="1"/>
    <col min="3" max="3" width="25.00390625" style="208" customWidth="1"/>
    <col min="4" max="16384" width="9.140625" style="208" customWidth="1"/>
  </cols>
  <sheetData>
    <row r="1" ht="18.75" customHeight="1"/>
    <row r="2" ht="18.75" customHeight="1">
      <c r="B2" s="209" t="s">
        <v>859</v>
      </c>
    </row>
    <row r="3" ht="18.75" customHeight="1"/>
    <row r="4" spans="1:3" ht="30" customHeight="1">
      <c r="A4" s="1506" t="s">
        <v>1190</v>
      </c>
      <c r="B4" s="1506"/>
      <c r="C4" s="1506"/>
    </row>
    <row r="5" spans="1:3" ht="45">
      <c r="A5" s="229" t="s">
        <v>858</v>
      </c>
      <c r="B5" s="210" t="s">
        <v>340</v>
      </c>
      <c r="C5" s="229" t="s">
        <v>1101</v>
      </c>
    </row>
    <row r="6" spans="1:3" ht="19.5" customHeight="1">
      <c r="A6" s="976" t="s">
        <v>974</v>
      </c>
      <c r="B6" s="212" t="s">
        <v>883</v>
      </c>
      <c r="C6" s="211"/>
    </row>
    <row r="7" spans="1:3" ht="15">
      <c r="A7" s="213"/>
      <c r="B7" s="214"/>
      <c r="C7" s="213"/>
    </row>
    <row r="8" spans="1:3" ht="12.75">
      <c r="A8" s="215" t="s">
        <v>861</v>
      </c>
      <c r="B8" s="216" t="s">
        <v>860</v>
      </c>
      <c r="C8" s="217">
        <v>614000</v>
      </c>
    </row>
    <row r="9" spans="1:3" ht="25.5">
      <c r="A9" s="218"/>
      <c r="B9" s="219" t="s">
        <v>862</v>
      </c>
      <c r="C9" s="218"/>
    </row>
    <row r="10" spans="1:3" ht="25.5">
      <c r="A10" s="218"/>
      <c r="B10" s="219" t="s">
        <v>863</v>
      </c>
      <c r="C10" s="218"/>
    </row>
    <row r="11" spans="1:3" ht="25.5">
      <c r="A11" s="218"/>
      <c r="B11" s="219" t="s">
        <v>864</v>
      </c>
      <c r="C11" s="218"/>
    </row>
    <row r="12" spans="1:3" ht="38.25">
      <c r="A12" s="218"/>
      <c r="B12" s="219" t="s">
        <v>865</v>
      </c>
      <c r="C12" s="218"/>
    </row>
    <row r="13" spans="1:3" ht="94.5" customHeight="1">
      <c r="A13" s="218"/>
      <c r="B13" s="220" t="s">
        <v>885</v>
      </c>
      <c r="C13" s="218"/>
    </row>
    <row r="14" spans="1:3" ht="27" customHeight="1">
      <c r="A14" s="221" t="s">
        <v>866</v>
      </c>
      <c r="B14" s="222" t="s">
        <v>867</v>
      </c>
      <c r="C14" s="223">
        <v>776000</v>
      </c>
    </row>
    <row r="15" spans="1:3" ht="12.75">
      <c r="A15" s="218"/>
      <c r="B15" s="224" t="s">
        <v>868</v>
      </c>
      <c r="C15" s="225"/>
    </row>
    <row r="16" spans="1:3" ht="12.75">
      <c r="A16" s="218"/>
      <c r="B16" s="224" t="s">
        <v>869</v>
      </c>
      <c r="C16" s="225"/>
    </row>
    <row r="17" spans="1:3" ht="12.75">
      <c r="A17" s="218"/>
      <c r="B17" s="224" t="s">
        <v>870</v>
      </c>
      <c r="C17" s="225"/>
    </row>
    <row r="18" spans="1:3" ht="12.75">
      <c r="A18" s="218"/>
      <c r="B18" s="224" t="s">
        <v>871</v>
      </c>
      <c r="C18" s="225"/>
    </row>
    <row r="19" spans="1:3" ht="12.75">
      <c r="A19" s="218"/>
      <c r="B19" s="224" t="s">
        <v>872</v>
      </c>
      <c r="C19" s="225"/>
    </row>
    <row r="20" spans="1:3" ht="25.5">
      <c r="A20" s="224" t="s">
        <v>886</v>
      </c>
      <c r="B20" s="219" t="s">
        <v>873</v>
      </c>
      <c r="C20" s="225"/>
    </row>
    <row r="21" spans="1:3" ht="12.75">
      <c r="A21" s="218"/>
      <c r="B21" s="224" t="s">
        <v>874</v>
      </c>
      <c r="C21" s="225"/>
    </row>
    <row r="22" spans="1:3" ht="25.5">
      <c r="A22" s="218"/>
      <c r="B22" s="219" t="s">
        <v>875</v>
      </c>
      <c r="C22" s="225"/>
    </row>
    <row r="23" spans="1:3" ht="12.75">
      <c r="A23" s="218"/>
      <c r="B23" s="224" t="s">
        <v>876</v>
      </c>
      <c r="C23" s="225"/>
    </row>
    <row r="24" spans="1:3" ht="12.75">
      <c r="A24" s="218"/>
      <c r="B24" s="224" t="s">
        <v>877</v>
      </c>
      <c r="C24" s="225"/>
    </row>
    <row r="25" spans="1:3" ht="25.5">
      <c r="A25" s="218"/>
      <c r="B25" s="219" t="s">
        <v>878</v>
      </c>
      <c r="C25" s="225"/>
    </row>
    <row r="26" spans="1:3" ht="12.75">
      <c r="A26" s="218"/>
      <c r="B26" s="224" t="s">
        <v>879</v>
      </c>
      <c r="C26" s="225"/>
    </row>
    <row r="27" spans="1:3" ht="12.75">
      <c r="A27" s="218"/>
      <c r="B27" s="960" t="s">
        <v>944</v>
      </c>
      <c r="C27" s="225"/>
    </row>
    <row r="28" spans="1:3" ht="12.75">
      <c r="A28" s="218"/>
      <c r="B28" s="960" t="s">
        <v>945</v>
      </c>
      <c r="C28" s="225"/>
    </row>
    <row r="29" spans="1:3" ht="15.75" customHeight="1">
      <c r="A29" s="975" t="s">
        <v>975</v>
      </c>
      <c r="B29" s="968" t="s">
        <v>955</v>
      </c>
      <c r="C29" s="223">
        <v>2050000</v>
      </c>
    </row>
    <row r="30" spans="1:3" ht="28.5" customHeight="1">
      <c r="A30" s="218"/>
      <c r="B30" s="226" t="s">
        <v>454</v>
      </c>
      <c r="C30" s="227">
        <f>SUM(C7:C29)</f>
        <v>3440000</v>
      </c>
    </row>
    <row r="31" ht="12.75">
      <c r="C31" s="228" t="s">
        <v>880</v>
      </c>
    </row>
  </sheetData>
  <sheetProtection/>
  <mergeCells count="1">
    <mergeCell ref="A4:C4"/>
  </mergeCells>
  <printOptions/>
  <pageMargins left="0.7086614173228347" right="0.7086614173228347" top="0.7480314960629921" bottom="0.7480314960629921" header="0.31496062992125984" footer="0.31496062992125984"/>
  <pageSetup firstPageNumber="4" useFirstPageNumber="1" horizontalDpi="600" verticalDpi="600" orientation="portrait" paperSize="9" r:id="rId1"/>
  <headerFooter>
    <oddHeader>&amp;C&amp;12&amp;P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G99"/>
  <sheetViews>
    <sheetView view="pageBreakPreview" zoomScale="55" zoomScaleNormal="75" zoomScaleSheetLayoutView="55" zoomScalePageLayoutView="0" workbookViewId="0" topLeftCell="A13">
      <selection activeCell="H19" sqref="H19"/>
    </sheetView>
  </sheetViews>
  <sheetFormatPr defaultColWidth="9.140625" defaultRowHeight="12.75"/>
  <cols>
    <col min="1" max="1" width="9.140625" style="6" customWidth="1"/>
    <col min="2" max="2" width="85.7109375" style="6" customWidth="1"/>
    <col min="3" max="11" width="23.28125" style="35" customWidth="1"/>
    <col min="12" max="12" width="26.00390625" style="6" customWidth="1"/>
    <col min="13" max="13" width="12.421875" style="6" customWidth="1"/>
    <col min="14" max="14" width="13.140625" style="6" customWidth="1"/>
    <col min="15" max="15" width="11.421875" style="6" customWidth="1"/>
    <col min="16" max="16384" width="9.140625" style="6" customWidth="1"/>
  </cols>
  <sheetData>
    <row r="2" spans="1:12" ht="34.5" customHeight="1" thickBot="1">
      <c r="A2" s="5"/>
      <c r="B2" s="1508" t="s">
        <v>1042</v>
      </c>
      <c r="C2" s="1508"/>
      <c r="D2" s="1508"/>
      <c r="E2" s="1508"/>
      <c r="F2" s="1508"/>
      <c r="G2" s="1508"/>
      <c r="H2" s="1508"/>
      <c r="I2" s="1508"/>
      <c r="J2" s="1508"/>
      <c r="K2" s="1508"/>
      <c r="L2" s="986"/>
    </row>
    <row r="3" spans="1:12" ht="258.75" customHeight="1">
      <c r="A3" s="7"/>
      <c r="B3" s="8" t="s">
        <v>340</v>
      </c>
      <c r="C3" s="9" t="s">
        <v>1126</v>
      </c>
      <c r="D3" s="9" t="s">
        <v>1349</v>
      </c>
      <c r="E3" s="9" t="s">
        <v>1350</v>
      </c>
      <c r="F3" s="9" t="s">
        <v>1351</v>
      </c>
      <c r="G3" s="9" t="s">
        <v>1182</v>
      </c>
      <c r="H3" s="9" t="s">
        <v>1352</v>
      </c>
      <c r="I3" s="9" t="s">
        <v>1353</v>
      </c>
      <c r="J3" s="9" t="s">
        <v>1354</v>
      </c>
      <c r="K3" s="9" t="s">
        <v>1127</v>
      </c>
      <c r="L3" s="9" t="s">
        <v>1348</v>
      </c>
    </row>
    <row r="4" spans="1:12" ht="15.75" customHeight="1">
      <c r="A4" s="10"/>
      <c r="B4" s="11">
        <v>1</v>
      </c>
      <c r="C4" s="1083">
        <v>2</v>
      </c>
      <c r="D4" s="1083">
        <v>3</v>
      </c>
      <c r="E4" s="1083">
        <v>4</v>
      </c>
      <c r="F4" s="1083">
        <v>5</v>
      </c>
      <c r="G4" s="1083">
        <v>6</v>
      </c>
      <c r="H4" s="1083">
        <v>7</v>
      </c>
      <c r="I4" s="1083">
        <v>8</v>
      </c>
      <c r="J4" s="1083">
        <v>9</v>
      </c>
      <c r="K4" s="1083">
        <v>10</v>
      </c>
      <c r="L4" s="949">
        <v>11</v>
      </c>
    </row>
    <row r="5" spans="1:12" ht="30.75" customHeight="1">
      <c r="A5" s="12"/>
      <c r="B5" s="13" t="s">
        <v>1046</v>
      </c>
      <c r="C5" s="14">
        <f>SUM(PRIHODI!C217)</f>
        <v>37200813</v>
      </c>
      <c r="D5" s="14">
        <f>SUM(PRIHODI!D217)</f>
        <v>1023000</v>
      </c>
      <c r="E5" s="14">
        <f>SUM(PRIHODI!E217)</f>
        <v>7103405.75</v>
      </c>
      <c r="F5" s="14">
        <f>SUM(PRIHODI!F217)</f>
        <v>31120407.25</v>
      </c>
      <c r="G5" s="14">
        <f>SUM(PRIHODI!G217)</f>
        <v>1301544.8</v>
      </c>
      <c r="H5" s="14">
        <f>SUM(PRIHODI!H217)</f>
        <v>47600</v>
      </c>
      <c r="I5" s="14">
        <f>SUM(PRIHODI!I217)</f>
        <v>55450</v>
      </c>
      <c r="J5" s="14">
        <f>SUM(PRIHODI!J217)</f>
        <v>1293694.8</v>
      </c>
      <c r="K5" s="14">
        <f>SUM(PRIHODI!K217)</f>
        <v>38502357.800000004</v>
      </c>
      <c r="L5" s="14">
        <f>SUM(PRIHODI!L217)</f>
        <v>32414102.05</v>
      </c>
    </row>
    <row r="6" spans="1:12" ht="30.75" customHeight="1">
      <c r="A6" s="12"/>
      <c r="B6" s="13" t="s">
        <v>703</v>
      </c>
      <c r="C6" s="14">
        <f>SUM(PRIHODI!C252,PRIHODI!C304,PRIHODI!C338,PRIHODI!C288,)</f>
        <v>0</v>
      </c>
      <c r="D6" s="14">
        <f>SUM(PRIHODI!D252,PRIHODI!D304,PRIHODI!D338,PRIHODI!D288,)</f>
        <v>0</v>
      </c>
      <c r="E6" s="14">
        <f>SUM(PRIHODI!E252,PRIHODI!E304,PRIHODI!E338,PRIHODI!E288,)</f>
        <v>0</v>
      </c>
      <c r="F6" s="14">
        <f>SUM(PRIHODI!F252,PRIHODI!F304,PRIHODI!F338,PRIHODI!F288,)</f>
        <v>0</v>
      </c>
      <c r="G6" s="14">
        <f>SUM(PRIHODI!G252,PRIHODI!G304,PRIHODI!G338,PRIHODI!G288,)</f>
        <v>2687110.6</v>
      </c>
      <c r="H6" s="14">
        <f>SUM(PRIHODI!H252,PRIHODI!H304,PRIHODI!H338,PRIHODI!H288,)</f>
        <v>0</v>
      </c>
      <c r="I6" s="14">
        <f>SUM(PRIHODI!I252,PRIHODI!I304,PRIHODI!I338,PRIHODI!I288,)</f>
        <v>100000</v>
      </c>
      <c r="J6" s="14">
        <f>SUM(PRIHODI!J252,PRIHODI!J304,PRIHODI!J338,PRIHODI!J288,)</f>
        <v>2587110.6</v>
      </c>
      <c r="K6" s="14">
        <f>SUM(PRIHODI!K252,PRIHODI!K304,PRIHODI!K338,PRIHODI!K288,)</f>
        <v>2687110.6</v>
      </c>
      <c r="L6" s="14">
        <f>SUM(PRIHODI!L252,PRIHODI!L304,PRIHODI!L338,PRIHODI!L288,)</f>
        <v>2587110.6</v>
      </c>
    </row>
    <row r="7" spans="1:12" ht="47.25" customHeight="1">
      <c r="A7" s="12"/>
      <c r="B7" s="21" t="s">
        <v>1428</v>
      </c>
      <c r="C7" s="14">
        <f>SUM(PRIHODI!C218,)</f>
        <v>1137885.37</v>
      </c>
      <c r="D7" s="14">
        <f>SUM(PRIHODI!D218,)</f>
        <v>2990005.75</v>
      </c>
      <c r="E7" s="14">
        <f>SUM(PRIHODI!E218,)</f>
        <v>0</v>
      </c>
      <c r="F7" s="14">
        <f>SUM(PRIHODI!F218,)</f>
        <v>4127891.12</v>
      </c>
      <c r="G7" s="14">
        <f>SUM(PRIHODI!G218,)</f>
        <v>0</v>
      </c>
      <c r="H7" s="14">
        <f>SUM(PRIHODI!H218,)</f>
        <v>0</v>
      </c>
      <c r="I7" s="14">
        <f>SUM(PRIHODI!I218,)</f>
        <v>0</v>
      </c>
      <c r="J7" s="14">
        <f>SUM(PRIHODI!J218,)</f>
        <v>0</v>
      </c>
      <c r="K7" s="14">
        <f>SUM(PRIHODI!K218,)</f>
        <v>1137885.37</v>
      </c>
      <c r="L7" s="14">
        <f>SUM(PRIHODI!L218,)</f>
        <v>4127891.12</v>
      </c>
    </row>
    <row r="8" spans="1:12" ht="32.25" customHeight="1">
      <c r="A8" s="15"/>
      <c r="B8" s="13" t="s">
        <v>361</v>
      </c>
      <c r="C8" s="14">
        <f aca="true" t="shared" si="0" ref="C8:L8">SUM(C5:C7,)</f>
        <v>38338698.37</v>
      </c>
      <c r="D8" s="14">
        <f t="shared" si="0"/>
        <v>4013005.75</v>
      </c>
      <c r="E8" s="14">
        <f t="shared" si="0"/>
        <v>7103405.75</v>
      </c>
      <c r="F8" s="14">
        <f t="shared" si="0"/>
        <v>35248298.37</v>
      </c>
      <c r="G8" s="14">
        <f t="shared" si="0"/>
        <v>3988655.4000000004</v>
      </c>
      <c r="H8" s="14">
        <f t="shared" si="0"/>
        <v>47600</v>
      </c>
      <c r="I8" s="14">
        <f t="shared" si="0"/>
        <v>155450</v>
      </c>
      <c r="J8" s="14">
        <f t="shared" si="0"/>
        <v>3880805.4000000004</v>
      </c>
      <c r="K8" s="14">
        <f t="shared" si="0"/>
        <v>42327353.77</v>
      </c>
      <c r="L8" s="14">
        <f t="shared" si="0"/>
        <v>39129103.769999996</v>
      </c>
    </row>
    <row r="9" spans="1:12" ht="30.75" customHeight="1">
      <c r="A9" s="12"/>
      <c r="B9" s="13" t="s">
        <v>1047</v>
      </c>
      <c r="C9" s="14">
        <f>SUM('POSEBNI DIO 24-52'!G971,)</f>
        <v>34849498.37</v>
      </c>
      <c r="D9" s="14">
        <f>SUM('POSEBNI DIO 24-52'!H971,)</f>
        <v>682000</v>
      </c>
      <c r="E9" s="14">
        <f>SUM('POSEBNI DIO 24-52'!I971,)</f>
        <v>3833400</v>
      </c>
      <c r="F9" s="14">
        <f>SUM('POSEBNI DIO 24-52'!J971,)</f>
        <v>31698098.369999997</v>
      </c>
      <c r="G9" s="14">
        <f>SUM('POSEBNI DIO 24-52'!K971,)</f>
        <v>1301544.8</v>
      </c>
      <c r="H9" s="14">
        <f>SUM('POSEBNI DIO 24-52'!L971,)</f>
        <v>0</v>
      </c>
      <c r="I9" s="14">
        <f>SUM('POSEBNI DIO 24-52'!M971,)</f>
        <v>7850</v>
      </c>
      <c r="J9" s="14">
        <f>SUM('POSEBNI DIO 24-52'!N971,)</f>
        <v>1293694.8</v>
      </c>
      <c r="K9" s="14">
        <f>SUM('POSEBNI DIO 24-52'!O971,)</f>
        <v>36151043.17</v>
      </c>
      <c r="L9" s="14">
        <f>SUM('POSEBNI DIO 24-52'!P971,)</f>
        <v>32991793.169999998</v>
      </c>
    </row>
    <row r="10" spans="1:12" ht="35.25" customHeight="1">
      <c r="A10" s="12"/>
      <c r="B10" s="13" t="s">
        <v>702</v>
      </c>
      <c r="C10" s="14">
        <f>SUM('POSEBNI DIO 24-52'!G973,)</f>
        <v>3489200</v>
      </c>
      <c r="D10" s="14">
        <f>SUM('POSEBNI DIO 24-52'!H973,)</f>
        <v>132000</v>
      </c>
      <c r="E10" s="14">
        <f>SUM('POSEBNI DIO 24-52'!I973,)</f>
        <v>71000</v>
      </c>
      <c r="F10" s="14">
        <f>SUM('POSEBNI DIO 24-52'!J973,)</f>
        <v>3550200</v>
      </c>
      <c r="G10" s="14">
        <f>SUM('POSEBNI DIO 24-52'!K973,)</f>
        <v>2687110.6</v>
      </c>
      <c r="H10" s="14">
        <f>SUM('POSEBNI DIO 24-52'!L973,)</f>
        <v>0</v>
      </c>
      <c r="I10" s="14">
        <f>SUM('POSEBNI DIO 24-52'!M973,)</f>
        <v>100000</v>
      </c>
      <c r="J10" s="14">
        <f>SUM('POSEBNI DIO 24-52'!N973,)</f>
        <v>2587110.6</v>
      </c>
      <c r="K10" s="14">
        <f>SUM('POSEBNI DIO 24-52'!O973,)</f>
        <v>6176310.6</v>
      </c>
      <c r="L10" s="14">
        <f>SUM('POSEBNI DIO 24-52'!P973,)</f>
        <v>6137310.6</v>
      </c>
    </row>
    <row r="11" spans="1:12" ht="32.25" customHeight="1">
      <c r="A11" s="12"/>
      <c r="B11" s="13" t="s">
        <v>759</v>
      </c>
      <c r="C11" s="14">
        <f>SUM('POSEBNI DIO 24-52'!G437)</f>
        <v>0</v>
      </c>
      <c r="D11" s="14">
        <f>SUM('POSEBNI DIO 24-52'!H437)</f>
        <v>0</v>
      </c>
      <c r="E11" s="14">
        <f>SUM('POSEBNI DIO 24-52'!I437)</f>
        <v>0</v>
      </c>
      <c r="F11" s="14">
        <f>SUM('POSEBNI DIO 24-52'!J437)</f>
        <v>0</v>
      </c>
      <c r="G11" s="14">
        <f>SUM('POSEBNI DIO 24-52'!K437)</f>
        <v>0</v>
      </c>
      <c r="H11" s="14">
        <f>SUM('POSEBNI DIO 24-52'!L437)</f>
        <v>0</v>
      </c>
      <c r="I11" s="14">
        <f>SUM('POSEBNI DIO 24-52'!M437)</f>
        <v>0</v>
      </c>
      <c r="J11" s="14">
        <f>SUM('POSEBNI DIO 24-52'!N437)</f>
        <v>0</v>
      </c>
      <c r="K11" s="14">
        <f>SUM('POSEBNI DIO 24-52'!O437)</f>
        <v>0</v>
      </c>
      <c r="L11" s="14">
        <f>SUM('POSEBNI DIO 24-52'!P437)</f>
        <v>0</v>
      </c>
    </row>
    <row r="12" spans="1:12" ht="30.75" customHeight="1">
      <c r="A12" s="12"/>
      <c r="B12" s="13" t="s">
        <v>362</v>
      </c>
      <c r="C12" s="14">
        <f aca="true" t="shared" si="1" ref="C12:L12">SUM(C9:C11,)</f>
        <v>38338698.37</v>
      </c>
      <c r="D12" s="14">
        <f t="shared" si="1"/>
        <v>814000</v>
      </c>
      <c r="E12" s="14">
        <f t="shared" si="1"/>
        <v>3904400</v>
      </c>
      <c r="F12" s="14">
        <f t="shared" si="1"/>
        <v>35248298.37</v>
      </c>
      <c r="G12" s="14">
        <f t="shared" si="1"/>
        <v>3988655.4000000004</v>
      </c>
      <c r="H12" s="14">
        <f t="shared" si="1"/>
        <v>0</v>
      </c>
      <c r="I12" s="14">
        <f t="shared" si="1"/>
        <v>107850</v>
      </c>
      <c r="J12" s="14">
        <f t="shared" si="1"/>
        <v>3880805.4000000004</v>
      </c>
      <c r="K12" s="14">
        <f t="shared" si="1"/>
        <v>42327353.77</v>
      </c>
      <c r="L12" s="14">
        <f t="shared" si="1"/>
        <v>39129103.769999996</v>
      </c>
    </row>
    <row r="13" spans="1:12" ht="36" customHeight="1" thickBot="1">
      <c r="A13" s="15"/>
      <c r="B13" s="16" t="s">
        <v>1378</v>
      </c>
      <c r="C13" s="17">
        <f aca="true" t="shared" si="2" ref="C13:L13">C8-C12</f>
        <v>0</v>
      </c>
      <c r="D13" s="17">
        <f t="shared" si="2"/>
        <v>3199005.75</v>
      </c>
      <c r="E13" s="17">
        <f t="shared" si="2"/>
        <v>3199005.75</v>
      </c>
      <c r="F13" s="17">
        <f t="shared" si="2"/>
        <v>0</v>
      </c>
      <c r="G13" s="17">
        <f t="shared" si="2"/>
        <v>0</v>
      </c>
      <c r="H13" s="17">
        <f t="shared" si="2"/>
        <v>47600</v>
      </c>
      <c r="I13" s="17">
        <f t="shared" si="2"/>
        <v>47600</v>
      </c>
      <c r="J13" s="17">
        <f t="shared" si="2"/>
        <v>0</v>
      </c>
      <c r="K13" s="17">
        <f t="shared" si="2"/>
        <v>0</v>
      </c>
      <c r="L13" s="17">
        <f t="shared" si="2"/>
        <v>0</v>
      </c>
    </row>
    <row r="14" spans="1:12" ht="18">
      <c r="A14" s="1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8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8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28.5" thickBot="1">
      <c r="A17" s="20"/>
      <c r="B17" s="1455" t="s">
        <v>1408</v>
      </c>
      <c r="C17" s="1455"/>
      <c r="D17" s="1455"/>
      <c r="E17" s="1455"/>
      <c r="F17" s="1455"/>
      <c r="G17" s="1455"/>
      <c r="H17" s="1455"/>
      <c r="I17" s="1456"/>
      <c r="J17" s="1456"/>
      <c r="K17" s="1456"/>
      <c r="L17" s="20"/>
    </row>
    <row r="18" spans="1:12" ht="234">
      <c r="A18" s="20"/>
      <c r="B18" s="8" t="s">
        <v>340</v>
      </c>
      <c r="C18" s="9" t="s">
        <v>1126</v>
      </c>
      <c r="D18" s="9" t="s">
        <v>1349</v>
      </c>
      <c r="E18" s="9" t="s">
        <v>1350</v>
      </c>
      <c r="F18" s="9" t="s">
        <v>1351</v>
      </c>
      <c r="G18" s="9" t="s">
        <v>1182</v>
      </c>
      <c r="H18" s="9" t="s">
        <v>1352</v>
      </c>
      <c r="I18" s="9" t="s">
        <v>1353</v>
      </c>
      <c r="J18" s="9" t="s">
        <v>1354</v>
      </c>
      <c r="K18" s="9" t="s">
        <v>1127</v>
      </c>
      <c r="L18" s="9" t="s">
        <v>1348</v>
      </c>
    </row>
    <row r="19" spans="1:12" ht="18">
      <c r="A19" s="20"/>
      <c r="B19" s="11">
        <v>1</v>
      </c>
      <c r="C19" s="1083">
        <v>2</v>
      </c>
      <c r="D19" s="1083">
        <v>3</v>
      </c>
      <c r="E19" s="1083">
        <v>4</v>
      </c>
      <c r="F19" s="1083">
        <v>5</v>
      </c>
      <c r="G19" s="1083">
        <v>6</v>
      </c>
      <c r="H19" s="1083">
        <v>7</v>
      </c>
      <c r="I19" s="1083">
        <v>8</v>
      </c>
      <c r="J19" s="1083">
        <v>9</v>
      </c>
      <c r="K19" s="1083">
        <v>10</v>
      </c>
      <c r="L19" s="949">
        <v>11</v>
      </c>
    </row>
    <row r="20" spans="1:12" ht="47.25" customHeight="1">
      <c r="A20" s="20"/>
      <c r="B20" s="21" t="s">
        <v>1412</v>
      </c>
      <c r="C20" s="14">
        <f>SUM(PRIHODI!C229)</f>
        <v>0</v>
      </c>
      <c r="D20" s="14">
        <f>SUM(PRIHODI!D229)</f>
        <v>1200000</v>
      </c>
      <c r="E20" s="14">
        <f>SUM(PRIHODI!E229)</f>
        <v>0</v>
      </c>
      <c r="F20" s="14">
        <f>SUM(PRIHODI!F229)</f>
        <v>1200000</v>
      </c>
      <c r="G20" s="14">
        <f>SUM(PRIHODI!G229)</f>
        <v>0</v>
      </c>
      <c r="H20" s="14">
        <f>SUM(PRIHODI!H229)</f>
        <v>0</v>
      </c>
      <c r="I20" s="14">
        <f>SUM(PRIHODI!I229)</f>
        <v>0</v>
      </c>
      <c r="J20" s="14">
        <f>SUM(PRIHODI!J229)</f>
        <v>0</v>
      </c>
      <c r="K20" s="14">
        <f>SUM(PRIHODI!K229)</f>
        <v>0</v>
      </c>
      <c r="L20" s="14">
        <f>SUM(PRIHODI!L229)</f>
        <v>1200000</v>
      </c>
    </row>
    <row r="21" spans="1:12" ht="47.25" customHeight="1">
      <c r="A21" s="20"/>
      <c r="B21" s="21" t="s">
        <v>1413</v>
      </c>
      <c r="C21" s="14">
        <f>SUM('POSEBNI DIO 24-52'!G381,'POSEBNI DIO 24-52'!G968)</f>
        <v>0</v>
      </c>
      <c r="D21" s="14">
        <f>SUM('POSEBNI DIO 24-52'!H381,'POSEBNI DIO 24-52'!H968)</f>
        <v>1200000</v>
      </c>
      <c r="E21" s="14">
        <f>SUM('POSEBNI DIO 24-52'!I381,'POSEBNI DIO 24-52'!I968)</f>
        <v>0</v>
      </c>
      <c r="F21" s="14">
        <f>SUM('POSEBNI DIO 24-52'!J381,'POSEBNI DIO 24-52'!J968)</f>
        <v>1200000</v>
      </c>
      <c r="G21" s="14">
        <f>SUM('POSEBNI DIO 24-52'!K381,'POSEBNI DIO 24-52'!K968)</f>
        <v>0</v>
      </c>
      <c r="H21" s="14">
        <f>SUM('POSEBNI DIO 24-52'!L381,'POSEBNI DIO 24-52'!L968)</f>
        <v>0</v>
      </c>
      <c r="I21" s="14">
        <f>SUM('POSEBNI DIO 24-52'!M381,'POSEBNI DIO 24-52'!M968)</f>
        <v>0</v>
      </c>
      <c r="J21" s="14">
        <f>SUM('POSEBNI DIO 24-52'!N381,'POSEBNI DIO 24-52'!N968)</f>
        <v>0</v>
      </c>
      <c r="K21" s="14">
        <f>SUM('POSEBNI DIO 24-52'!O381,'POSEBNI DIO 24-52'!O968)</f>
        <v>0</v>
      </c>
      <c r="L21" s="14">
        <f>SUM('POSEBNI DIO 24-52'!P381,'POSEBNI DIO 24-52'!P968)</f>
        <v>1200000</v>
      </c>
    </row>
    <row r="22" spans="1:12" ht="32.25" customHeight="1" thickBot="1">
      <c r="A22" s="20"/>
      <c r="B22" s="16" t="s">
        <v>1378</v>
      </c>
      <c r="C22" s="14">
        <f>C20-C21</f>
        <v>0</v>
      </c>
      <c r="D22" s="14">
        <f aca="true" t="shared" si="3" ref="D22:L22">D20-D21</f>
        <v>0</v>
      </c>
      <c r="E22" s="14">
        <f t="shared" si="3"/>
        <v>0</v>
      </c>
      <c r="F22" s="14">
        <f t="shared" si="3"/>
        <v>0</v>
      </c>
      <c r="G22" s="14">
        <f t="shared" si="3"/>
        <v>0</v>
      </c>
      <c r="H22" s="14">
        <f t="shared" si="3"/>
        <v>0</v>
      </c>
      <c r="I22" s="14">
        <f t="shared" si="3"/>
        <v>0</v>
      </c>
      <c r="J22" s="14">
        <f t="shared" si="3"/>
        <v>0</v>
      </c>
      <c r="K22" s="14">
        <f t="shared" si="3"/>
        <v>0</v>
      </c>
      <c r="L22" s="14">
        <f t="shared" si="3"/>
        <v>0</v>
      </c>
    </row>
    <row r="23" spans="1:12" ht="18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28.5" customHeight="1" thickBot="1">
      <c r="A24" s="18"/>
      <c r="B24" s="1513" t="s">
        <v>1414</v>
      </c>
      <c r="C24" s="1513"/>
      <c r="D24" s="1513"/>
      <c r="E24" s="1513"/>
      <c r="F24" s="1513"/>
      <c r="G24" s="1513"/>
      <c r="H24" s="1513"/>
      <c r="I24" s="19"/>
      <c r="J24" s="19"/>
      <c r="K24" s="19"/>
      <c r="L24" s="19"/>
    </row>
    <row r="25" spans="1:12" ht="261" customHeight="1">
      <c r="A25" s="18"/>
      <c r="B25" s="8" t="s">
        <v>340</v>
      </c>
      <c r="C25" s="9" t="s">
        <v>1126</v>
      </c>
      <c r="D25" s="9" t="s">
        <v>1349</v>
      </c>
      <c r="E25" s="9" t="s">
        <v>1350</v>
      </c>
      <c r="F25" s="9" t="s">
        <v>1351</v>
      </c>
      <c r="G25" s="9" t="s">
        <v>1182</v>
      </c>
      <c r="H25" s="9" t="s">
        <v>1352</v>
      </c>
      <c r="I25" s="9" t="s">
        <v>1353</v>
      </c>
      <c r="J25" s="9" t="s">
        <v>1354</v>
      </c>
      <c r="K25" s="9" t="s">
        <v>1127</v>
      </c>
      <c r="L25" s="9" t="s">
        <v>1348</v>
      </c>
    </row>
    <row r="26" spans="1:12" ht="18">
      <c r="A26" s="18"/>
      <c r="B26" s="11">
        <v>1</v>
      </c>
      <c r="C26" s="1083">
        <v>2</v>
      </c>
      <c r="D26" s="1083">
        <v>3</v>
      </c>
      <c r="E26" s="1083">
        <v>4</v>
      </c>
      <c r="F26" s="1083">
        <v>5</v>
      </c>
      <c r="G26" s="1083">
        <v>6</v>
      </c>
      <c r="H26" s="1083">
        <v>7</v>
      </c>
      <c r="I26" s="1083">
        <v>8</v>
      </c>
      <c r="J26" s="1083">
        <v>9</v>
      </c>
      <c r="K26" s="1083">
        <v>10</v>
      </c>
      <c r="L26" s="949">
        <v>11</v>
      </c>
    </row>
    <row r="27" spans="1:12" ht="37.5" customHeight="1">
      <c r="A27" s="18"/>
      <c r="B27" s="13" t="s">
        <v>1048</v>
      </c>
      <c r="C27" s="14">
        <f>SUM(PRIHODI!C388,)-C28-C30</f>
        <v>6060000</v>
      </c>
      <c r="D27" s="14">
        <f>SUM(PRIHODI!D388,)-D28-D30</f>
        <v>499627.9199999999</v>
      </c>
      <c r="E27" s="14">
        <f>SUM(PRIHODI!E388,)-E28-E30</f>
        <v>0</v>
      </c>
      <c r="F27" s="14">
        <f>SUM(PRIHODI!F388,)-F28-F30</f>
        <v>6559627.92</v>
      </c>
      <c r="G27" s="14">
        <f>SUM(PRIHODI!G388,)-G28-G30</f>
        <v>4146065.66</v>
      </c>
      <c r="H27" s="14">
        <f>SUM(PRIHODI!H388,)-H28-H30</f>
        <v>11059.2</v>
      </c>
      <c r="I27" s="14">
        <f>SUM(PRIHODI!I388,)-I28-I30</f>
        <v>1000000</v>
      </c>
      <c r="J27" s="14">
        <f>SUM(PRIHODI!J388,)-J28-J30</f>
        <v>3157124.8600000003</v>
      </c>
      <c r="K27" s="14">
        <f>SUM(PRIHODI!K388,)-K28-K30</f>
        <v>10206065.66</v>
      </c>
      <c r="L27" s="14">
        <f>SUM(PRIHODI!L388,)-L28-L30</f>
        <v>9716752.780000001</v>
      </c>
    </row>
    <row r="28" spans="1:12" ht="34.5" customHeight="1">
      <c r="A28" s="18"/>
      <c r="B28" s="13" t="s">
        <v>1045</v>
      </c>
      <c r="C28" s="14">
        <f>SUM(PRIHODI!C383)</f>
        <v>2550000</v>
      </c>
      <c r="D28" s="14">
        <f>SUM(PRIHODI!D383)</f>
        <v>600000</v>
      </c>
      <c r="E28" s="14">
        <f>SUM(PRIHODI!E383)</f>
        <v>0</v>
      </c>
      <c r="F28" s="14">
        <f>SUM(PRIHODI!F383)</f>
        <v>3150000</v>
      </c>
      <c r="G28" s="14">
        <f>SUM(PRIHODI!G383)</f>
        <v>0</v>
      </c>
      <c r="H28" s="14">
        <f>SUM(PRIHODI!H383)</f>
        <v>0</v>
      </c>
      <c r="I28" s="14">
        <f>SUM(PRIHODI!I383)</f>
        <v>0</v>
      </c>
      <c r="J28" s="14">
        <f>SUM(PRIHODI!J383)</f>
        <v>0</v>
      </c>
      <c r="K28" s="14">
        <f>SUM(PRIHODI!K383)</f>
        <v>2550000</v>
      </c>
      <c r="L28" s="14">
        <f>SUM(PRIHODI!L383)</f>
        <v>3150000</v>
      </c>
    </row>
    <row r="29" spans="1:12" ht="34.5" customHeight="1">
      <c r="A29" s="20"/>
      <c r="B29" s="21" t="s">
        <v>913</v>
      </c>
      <c r="C29" s="14">
        <f>SUM(PRIHODI!C390)</f>
        <v>500000</v>
      </c>
      <c r="D29" s="14">
        <f>SUM(PRIHODI!D390)</f>
        <v>0</v>
      </c>
      <c r="E29" s="14">
        <f>SUM(PRIHODI!E390)</f>
        <v>0</v>
      </c>
      <c r="F29" s="14">
        <f>SUM(PRIHODI!F390)</f>
        <v>500000</v>
      </c>
      <c r="G29" s="14">
        <f>SUM(PRIHODI!G390)</f>
        <v>0</v>
      </c>
      <c r="H29" s="14">
        <f>SUM(PRIHODI!H390)</f>
        <v>0</v>
      </c>
      <c r="I29" s="14">
        <f>SUM(PRIHODI!I390)</f>
        <v>0</v>
      </c>
      <c r="J29" s="14">
        <f>SUM(PRIHODI!J390)</f>
        <v>0</v>
      </c>
      <c r="K29" s="14">
        <f>SUM(PRIHODI!K390)</f>
        <v>500000</v>
      </c>
      <c r="L29" s="14">
        <f>SUM(PRIHODI!L390)</f>
        <v>500000</v>
      </c>
    </row>
    <row r="30" spans="1:12" ht="34.5" customHeight="1">
      <c r="A30" s="20"/>
      <c r="B30" s="13" t="s">
        <v>1091</v>
      </c>
      <c r="C30" s="14">
        <f>SUM(PRIHODI!C386)</f>
        <v>7000000</v>
      </c>
      <c r="D30" s="14">
        <f>SUM(PRIHODI!D386)</f>
        <v>0</v>
      </c>
      <c r="E30" s="14">
        <f>SUM(PRIHODI!E386)</f>
        <v>0</v>
      </c>
      <c r="F30" s="14">
        <f>SUM(PRIHODI!F386)</f>
        <v>7000000</v>
      </c>
      <c r="G30" s="14">
        <f>SUM(PRIHODI!G386)</f>
        <v>0</v>
      </c>
      <c r="H30" s="14">
        <f>SUM(PRIHODI!H386)</f>
        <v>0</v>
      </c>
      <c r="I30" s="14">
        <f>SUM(PRIHODI!I386)</f>
        <v>0</v>
      </c>
      <c r="J30" s="14">
        <f>SUM(PRIHODI!J386)</f>
        <v>0</v>
      </c>
      <c r="K30" s="14">
        <f>SUM(PRIHODI!K386)</f>
        <v>7000000</v>
      </c>
      <c r="L30" s="14">
        <f>SUM(PRIHODI!L386)</f>
        <v>7000000</v>
      </c>
    </row>
    <row r="31" spans="1:12" ht="48" customHeight="1">
      <c r="A31" s="18"/>
      <c r="B31" s="21" t="s">
        <v>1429</v>
      </c>
      <c r="C31" s="14">
        <f>SUM(PRIHODI!C389,)</f>
        <v>1554994.18</v>
      </c>
      <c r="D31" s="14">
        <f>SUM(PRIHODI!D389,)</f>
        <v>0</v>
      </c>
      <c r="E31" s="14">
        <f>SUM(PRIHODI!E389,)</f>
        <v>299627.92</v>
      </c>
      <c r="F31" s="14">
        <f>SUM(PRIHODI!F389,)</f>
        <v>1255366.26</v>
      </c>
      <c r="G31" s="14">
        <f>SUM(PRIHODI!G389,)</f>
        <v>0</v>
      </c>
      <c r="H31" s="14">
        <f>SUM(PRIHODI!H389,)</f>
        <v>0</v>
      </c>
      <c r="I31" s="14">
        <f>SUM(PRIHODI!I389,)</f>
        <v>0</v>
      </c>
      <c r="J31" s="14">
        <f>SUM(PRIHODI!J389,)</f>
        <v>0</v>
      </c>
      <c r="K31" s="14">
        <f>SUM(PRIHODI!K389,)</f>
        <v>1554994.18</v>
      </c>
      <c r="L31" s="14">
        <f>SUM(PRIHODI!L389,)</f>
        <v>1255366.26</v>
      </c>
    </row>
    <row r="32" spans="1:12" ht="40.5" customHeight="1">
      <c r="A32" s="18"/>
      <c r="B32" s="13" t="s">
        <v>361</v>
      </c>
      <c r="C32" s="14">
        <f aca="true" t="shared" si="4" ref="C32:L32">SUM(C27:C31,)</f>
        <v>17664994.18</v>
      </c>
      <c r="D32" s="14">
        <f t="shared" si="4"/>
        <v>1099627.92</v>
      </c>
      <c r="E32" s="14">
        <f t="shared" si="4"/>
        <v>299627.92</v>
      </c>
      <c r="F32" s="14">
        <f t="shared" si="4"/>
        <v>18464994.180000003</v>
      </c>
      <c r="G32" s="14">
        <f t="shared" si="4"/>
        <v>4146065.66</v>
      </c>
      <c r="H32" s="14">
        <f t="shared" si="4"/>
        <v>11059.2</v>
      </c>
      <c r="I32" s="14">
        <f t="shared" si="4"/>
        <v>1000000</v>
      </c>
      <c r="J32" s="14">
        <f t="shared" si="4"/>
        <v>3157124.8600000003</v>
      </c>
      <c r="K32" s="14">
        <f t="shared" si="4"/>
        <v>21811059.84</v>
      </c>
      <c r="L32" s="14">
        <f t="shared" si="4"/>
        <v>21622119.040000003</v>
      </c>
    </row>
    <row r="33" spans="1:12" ht="36" customHeight="1">
      <c r="A33" s="18"/>
      <c r="B33" s="13" t="s">
        <v>1049</v>
      </c>
      <c r="C33" s="14">
        <f>SUM('POSEBNI DIO 24-52'!G974,)-C34</f>
        <v>6724994.180000003</v>
      </c>
      <c r="D33" s="14">
        <f>SUM('POSEBNI DIO 24-52'!H974,)-D34</f>
        <v>800000</v>
      </c>
      <c r="E33" s="14">
        <f>SUM('POSEBNI DIO 24-52'!I974,)-E34</f>
        <v>0</v>
      </c>
      <c r="F33" s="14">
        <f>SUM('POSEBNI DIO 24-52'!J974,)-F34</f>
        <v>7524994.180000003</v>
      </c>
      <c r="G33" s="14">
        <f>SUM('POSEBNI DIO 24-52'!K974,)-G34</f>
        <v>4146065.66</v>
      </c>
      <c r="H33" s="14">
        <f>SUM('POSEBNI DIO 24-52'!L974,)-H34</f>
        <v>11059.2</v>
      </c>
      <c r="I33" s="14">
        <f>SUM('POSEBNI DIO 24-52'!M974,)-I34</f>
        <v>1000000</v>
      </c>
      <c r="J33" s="14">
        <f>SUM('POSEBNI DIO 24-52'!N974,)-J34</f>
        <v>3157124.86</v>
      </c>
      <c r="K33" s="14">
        <f>SUM('POSEBNI DIO 24-52'!O974,)-K34</f>
        <v>10871059.840000004</v>
      </c>
      <c r="L33" s="14">
        <f>SUM('POSEBNI DIO 24-52'!P974,)-L34</f>
        <v>10682119.040000003</v>
      </c>
    </row>
    <row r="34" spans="1:12" ht="33.75" customHeight="1">
      <c r="A34" s="18"/>
      <c r="B34" s="13" t="s">
        <v>68</v>
      </c>
      <c r="C34" s="14">
        <v>7500000</v>
      </c>
      <c r="D34" s="14">
        <v>0</v>
      </c>
      <c r="E34" s="14">
        <v>0</v>
      </c>
      <c r="F34" s="14">
        <v>7500000</v>
      </c>
      <c r="G34" s="14">
        <v>0</v>
      </c>
      <c r="H34" s="14">
        <v>0</v>
      </c>
      <c r="I34" s="14">
        <v>0</v>
      </c>
      <c r="J34" s="14">
        <v>0</v>
      </c>
      <c r="K34" s="14">
        <v>7500000</v>
      </c>
      <c r="L34" s="14">
        <v>7500000</v>
      </c>
    </row>
    <row r="35" spans="1:12" ht="36" customHeight="1">
      <c r="A35" s="18"/>
      <c r="B35" s="13" t="s">
        <v>759</v>
      </c>
      <c r="C35" s="14">
        <f>SUM('POSEBNI DIO 24-52'!G483,)</f>
        <v>1390000</v>
      </c>
      <c r="D35" s="14">
        <f>SUM('POSEBNI DIO 24-52'!H483,)</f>
        <v>0</v>
      </c>
      <c r="E35" s="14">
        <f>SUM('POSEBNI DIO 24-52'!I483,)</f>
        <v>0</v>
      </c>
      <c r="F35" s="14">
        <f>SUM('POSEBNI DIO 24-52'!J483,)</f>
        <v>1390000</v>
      </c>
      <c r="G35" s="14">
        <f>SUM('POSEBNI DIO 24-52'!K483,)</f>
        <v>0</v>
      </c>
      <c r="H35" s="14">
        <f>SUM('POSEBNI DIO 24-52'!L483,)</f>
        <v>0</v>
      </c>
      <c r="I35" s="14">
        <f>SUM('POSEBNI DIO 24-52'!M483,)</f>
        <v>0</v>
      </c>
      <c r="J35" s="14">
        <f>SUM('POSEBNI DIO 24-52'!N483,)</f>
        <v>0</v>
      </c>
      <c r="K35" s="14">
        <f>SUM('POSEBNI DIO 24-52'!O483,)</f>
        <v>1390000</v>
      </c>
      <c r="L35" s="14">
        <f>SUM('POSEBNI DIO 24-52'!P483,)</f>
        <v>1390000</v>
      </c>
    </row>
    <row r="36" spans="1:12" ht="39" customHeight="1">
      <c r="A36" s="18"/>
      <c r="B36" s="21" t="s">
        <v>1189</v>
      </c>
      <c r="C36" s="14">
        <f>SUM('POSEBNI DIO 24-52'!G484)</f>
        <v>550000</v>
      </c>
      <c r="D36" s="14">
        <f>SUM('POSEBNI DIO 24-52'!H484)</f>
        <v>0</v>
      </c>
      <c r="E36" s="14">
        <f>SUM('POSEBNI DIO 24-52'!I484)</f>
        <v>0</v>
      </c>
      <c r="F36" s="14">
        <f>SUM('POSEBNI DIO 24-52'!J484)</f>
        <v>550000</v>
      </c>
      <c r="G36" s="14">
        <f>SUM('POSEBNI DIO 24-52'!K484)</f>
        <v>0</v>
      </c>
      <c r="H36" s="14">
        <f>SUM('POSEBNI DIO 24-52'!L484)</f>
        <v>0</v>
      </c>
      <c r="I36" s="14">
        <f>SUM('POSEBNI DIO 24-52'!M484)</f>
        <v>0</v>
      </c>
      <c r="J36" s="14">
        <f>SUM('POSEBNI DIO 24-52'!N484)</f>
        <v>0</v>
      </c>
      <c r="K36" s="14">
        <f>SUM('POSEBNI DIO 24-52'!O484)</f>
        <v>550000</v>
      </c>
      <c r="L36" s="14">
        <f>SUM('POSEBNI DIO 24-52'!P484)</f>
        <v>550000</v>
      </c>
    </row>
    <row r="37" spans="1:12" ht="36.75" customHeight="1">
      <c r="A37" s="20"/>
      <c r="B37" s="21" t="s">
        <v>1195</v>
      </c>
      <c r="C37" s="14">
        <f>SUM('POSEBNI DIO 24-52'!G485)</f>
        <v>1500000</v>
      </c>
      <c r="D37" s="14">
        <f>SUM('POSEBNI DIO 24-52'!H485)</f>
        <v>0</v>
      </c>
      <c r="E37" s="14">
        <f>SUM('POSEBNI DIO 24-52'!I485)</f>
        <v>0</v>
      </c>
      <c r="F37" s="14">
        <f>SUM('POSEBNI DIO 24-52'!J485)</f>
        <v>1500000</v>
      </c>
      <c r="G37" s="14">
        <f>SUM('POSEBNI DIO 24-52'!K485)</f>
        <v>0</v>
      </c>
      <c r="H37" s="14">
        <f>SUM('POSEBNI DIO 24-52'!L485)</f>
        <v>0</v>
      </c>
      <c r="I37" s="14">
        <f>SUM('POSEBNI DIO 24-52'!M485)</f>
        <v>0</v>
      </c>
      <c r="J37" s="14">
        <f>SUM('POSEBNI DIO 24-52'!N485)</f>
        <v>0</v>
      </c>
      <c r="K37" s="14">
        <f>SUM('POSEBNI DIO 24-52'!O485)</f>
        <v>1500000</v>
      </c>
      <c r="L37" s="14">
        <f>SUM('POSEBNI DIO 24-52'!P485)</f>
        <v>1500000</v>
      </c>
    </row>
    <row r="38" spans="1:12" ht="42.75" customHeight="1">
      <c r="A38" s="18"/>
      <c r="B38" s="13" t="s">
        <v>612</v>
      </c>
      <c r="C38" s="14">
        <f aca="true" t="shared" si="5" ref="C38:L38">SUM(C33:C37,)</f>
        <v>17664994.180000003</v>
      </c>
      <c r="D38" s="14">
        <f t="shared" si="5"/>
        <v>800000</v>
      </c>
      <c r="E38" s="14">
        <f t="shared" si="5"/>
        <v>0</v>
      </c>
      <c r="F38" s="14">
        <f t="shared" si="5"/>
        <v>18464994.180000003</v>
      </c>
      <c r="G38" s="14">
        <f t="shared" si="5"/>
        <v>4146065.66</v>
      </c>
      <c r="H38" s="14">
        <f t="shared" si="5"/>
        <v>11059.2</v>
      </c>
      <c r="I38" s="14">
        <f t="shared" si="5"/>
        <v>1000000</v>
      </c>
      <c r="J38" s="14">
        <f t="shared" si="5"/>
        <v>3157124.86</v>
      </c>
      <c r="K38" s="14">
        <f t="shared" si="5"/>
        <v>21811059.840000004</v>
      </c>
      <c r="L38" s="14">
        <f t="shared" si="5"/>
        <v>21622119.040000003</v>
      </c>
    </row>
    <row r="39" spans="1:12" ht="44.25" customHeight="1" thickBot="1">
      <c r="A39" s="18"/>
      <c r="B39" s="16" t="s">
        <v>1378</v>
      </c>
      <c r="C39" s="17">
        <f aca="true" t="shared" si="6" ref="C39:L39">C32-C38</f>
        <v>0</v>
      </c>
      <c r="D39" s="17">
        <f t="shared" si="6"/>
        <v>299627.9199999999</v>
      </c>
      <c r="E39" s="17">
        <f t="shared" si="6"/>
        <v>299627.92</v>
      </c>
      <c r="F39" s="17">
        <f t="shared" si="6"/>
        <v>0</v>
      </c>
      <c r="G39" s="17">
        <f t="shared" si="6"/>
        <v>0</v>
      </c>
      <c r="H39" s="17">
        <f t="shared" si="6"/>
        <v>0</v>
      </c>
      <c r="I39" s="17">
        <f t="shared" si="6"/>
        <v>0</v>
      </c>
      <c r="J39" s="17">
        <f t="shared" si="6"/>
        <v>0</v>
      </c>
      <c r="K39" s="17">
        <f t="shared" si="6"/>
        <v>0</v>
      </c>
      <c r="L39" s="17">
        <f t="shared" si="6"/>
        <v>0</v>
      </c>
    </row>
    <row r="40" spans="1:12" ht="18">
      <c r="A40" s="18"/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23.25" customHeight="1">
      <c r="A41" s="20"/>
      <c r="B41" s="1509" t="s">
        <v>1415</v>
      </c>
      <c r="C41" s="1509"/>
      <c r="D41" s="1509"/>
      <c r="E41" s="1509"/>
      <c r="F41" s="1509"/>
      <c r="G41" s="1509"/>
      <c r="H41" s="1509"/>
      <c r="I41" s="1509"/>
      <c r="J41" s="1509"/>
      <c r="K41" s="1509"/>
      <c r="L41" s="1082"/>
    </row>
    <row r="42" spans="1:12" ht="18.75" customHeight="1" thickBot="1">
      <c r="A42" s="20"/>
      <c r="B42" s="1510"/>
      <c r="C42" s="1510"/>
      <c r="D42" s="1510"/>
      <c r="E42" s="1510"/>
      <c r="F42" s="1510"/>
      <c r="G42" s="1510"/>
      <c r="H42" s="1510"/>
      <c r="I42" s="1510"/>
      <c r="J42" s="1510"/>
      <c r="K42" s="1510"/>
      <c r="L42" s="1082"/>
    </row>
    <row r="43" spans="1:12" ht="262.5" customHeight="1">
      <c r="A43" s="20"/>
      <c r="B43" s="8" t="s">
        <v>340</v>
      </c>
      <c r="C43" s="9" t="s">
        <v>1126</v>
      </c>
      <c r="D43" s="9" t="s">
        <v>1349</v>
      </c>
      <c r="E43" s="9" t="s">
        <v>1350</v>
      </c>
      <c r="F43" s="9" t="s">
        <v>1351</v>
      </c>
      <c r="G43" s="9" t="s">
        <v>1182</v>
      </c>
      <c r="H43" s="9" t="s">
        <v>1352</v>
      </c>
      <c r="I43" s="9" t="s">
        <v>1353</v>
      </c>
      <c r="J43" s="9" t="s">
        <v>1354</v>
      </c>
      <c r="K43" s="9" t="s">
        <v>1127</v>
      </c>
      <c r="L43" s="9" t="s">
        <v>1348</v>
      </c>
    </row>
    <row r="44" spans="1:12" ht="18">
      <c r="A44" s="20"/>
      <c r="B44" s="11">
        <v>1</v>
      </c>
      <c r="C44" s="1083">
        <v>2</v>
      </c>
      <c r="D44" s="1083">
        <v>3</v>
      </c>
      <c r="E44" s="1083">
        <v>4</v>
      </c>
      <c r="F44" s="1083">
        <v>5</v>
      </c>
      <c r="G44" s="1083">
        <v>6</v>
      </c>
      <c r="H44" s="1083">
        <v>7</v>
      </c>
      <c r="I44" s="1083">
        <v>8</v>
      </c>
      <c r="J44" s="1083">
        <v>9</v>
      </c>
      <c r="K44" s="1083">
        <v>10</v>
      </c>
      <c r="L44" s="949">
        <v>11</v>
      </c>
    </row>
    <row r="45" spans="1:12" ht="50.25" customHeight="1">
      <c r="A45" s="20"/>
      <c r="B45" s="21" t="s">
        <v>1050</v>
      </c>
      <c r="C45" s="14">
        <f>SUM(PRIHODI!C426,)</f>
        <v>3069961.6</v>
      </c>
      <c r="D45" s="14">
        <f>SUM(PRIHODI!D426,)</f>
        <v>0</v>
      </c>
      <c r="E45" s="14">
        <f>SUM(PRIHODI!E426,)</f>
        <v>0</v>
      </c>
      <c r="F45" s="14">
        <f>SUM(PRIHODI!F426,)</f>
        <v>3069961.6</v>
      </c>
      <c r="G45" s="14">
        <f>SUM(PRIHODI!G426,)</f>
        <v>225000</v>
      </c>
      <c r="H45" s="14">
        <f>SUM(PRIHODI!H426,)</f>
        <v>0</v>
      </c>
      <c r="I45" s="14">
        <f>SUM(PRIHODI!I426,)</f>
        <v>0</v>
      </c>
      <c r="J45" s="14">
        <f>SUM(PRIHODI!J426,)</f>
        <v>225000</v>
      </c>
      <c r="K45" s="14">
        <f>SUM(PRIHODI!K426,)</f>
        <v>3294961.6</v>
      </c>
      <c r="L45" s="14">
        <f>SUM(PRIHODI!L426,)</f>
        <v>3294961.6</v>
      </c>
    </row>
    <row r="46" spans="1:12" ht="51" customHeight="1">
      <c r="A46" s="20"/>
      <c r="B46" s="21" t="s">
        <v>1051</v>
      </c>
      <c r="C46" s="22">
        <f>SUM('POSEBNI DIO 24-52'!G792,)</f>
        <v>3069961.6000000006</v>
      </c>
      <c r="D46" s="22">
        <f>SUM('POSEBNI DIO 24-52'!H792,)</f>
        <v>0</v>
      </c>
      <c r="E46" s="22">
        <f>SUM('POSEBNI DIO 24-52'!I792,)</f>
        <v>0</v>
      </c>
      <c r="F46" s="22">
        <f>SUM('POSEBNI DIO 24-52'!J792,)</f>
        <v>3069961.6000000006</v>
      </c>
      <c r="G46" s="22">
        <f>SUM('POSEBNI DIO 24-52'!K792,)</f>
        <v>225000</v>
      </c>
      <c r="H46" s="22">
        <f>SUM('POSEBNI DIO 24-52'!L792,)</f>
        <v>0</v>
      </c>
      <c r="I46" s="22">
        <f>SUM('POSEBNI DIO 24-52'!M792,)</f>
        <v>0</v>
      </c>
      <c r="J46" s="22">
        <f>SUM('POSEBNI DIO 24-52'!N792,)</f>
        <v>225000</v>
      </c>
      <c r="K46" s="22">
        <f>SUM('POSEBNI DIO 24-52'!O792,)</f>
        <v>3294961.6000000006</v>
      </c>
      <c r="L46" s="22">
        <f>SUM('POSEBNI DIO 24-52'!P792,)</f>
        <v>3294961.6000000006</v>
      </c>
    </row>
    <row r="47" spans="1:12" ht="39.75" customHeight="1" thickBot="1">
      <c r="A47" s="20"/>
      <c r="B47" s="16" t="s">
        <v>1378</v>
      </c>
      <c r="C47" s="17">
        <f aca="true" t="shared" si="7" ref="C47:L47">SUM(C45-C46)</f>
        <v>-4.656612873077393E-10</v>
      </c>
      <c r="D47" s="17">
        <f t="shared" si="7"/>
        <v>0</v>
      </c>
      <c r="E47" s="17">
        <f t="shared" si="7"/>
        <v>0</v>
      </c>
      <c r="F47" s="17">
        <f t="shared" si="7"/>
        <v>-4.656612873077393E-10</v>
      </c>
      <c r="G47" s="17">
        <f t="shared" si="7"/>
        <v>0</v>
      </c>
      <c r="H47" s="17">
        <f t="shared" si="7"/>
        <v>0</v>
      </c>
      <c r="I47" s="17">
        <f t="shared" si="7"/>
        <v>0</v>
      </c>
      <c r="J47" s="17">
        <f t="shared" si="7"/>
        <v>0</v>
      </c>
      <c r="K47" s="17">
        <f t="shared" si="7"/>
        <v>-4.656612873077393E-10</v>
      </c>
      <c r="L47" s="17">
        <f t="shared" si="7"/>
        <v>-4.656612873077393E-10</v>
      </c>
    </row>
    <row r="48" spans="1:12" ht="36" customHeight="1">
      <c r="A48" s="20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 ht="21.75" customHeight="1">
      <c r="A49" s="20"/>
      <c r="B49" s="1511" t="s">
        <v>1416</v>
      </c>
      <c r="C49" s="1511"/>
      <c r="D49" s="1511"/>
      <c r="E49" s="1511"/>
      <c r="F49" s="1511"/>
      <c r="G49" s="1511"/>
      <c r="H49" s="1511"/>
      <c r="I49" s="1511"/>
      <c r="J49" s="1511"/>
      <c r="K49" s="1511"/>
      <c r="L49" s="989"/>
    </row>
    <row r="50" spans="1:12" ht="21.75" customHeight="1" thickBot="1">
      <c r="A50" s="20"/>
      <c r="B50" s="1512"/>
      <c r="C50" s="1512"/>
      <c r="D50" s="1512"/>
      <c r="E50" s="1512"/>
      <c r="F50" s="1512"/>
      <c r="G50" s="1512"/>
      <c r="H50" s="1512"/>
      <c r="I50" s="1512"/>
      <c r="J50" s="1512"/>
      <c r="K50" s="1512"/>
      <c r="L50" s="989"/>
    </row>
    <row r="51" spans="1:12" ht="265.5" customHeight="1">
      <c r="A51" s="26"/>
      <c r="B51" s="8" t="s">
        <v>340</v>
      </c>
      <c r="C51" s="9" t="s">
        <v>1126</v>
      </c>
      <c r="D51" s="9" t="s">
        <v>1349</v>
      </c>
      <c r="E51" s="9" t="s">
        <v>1350</v>
      </c>
      <c r="F51" s="9" t="s">
        <v>1351</v>
      </c>
      <c r="G51" s="9" t="s">
        <v>1182</v>
      </c>
      <c r="H51" s="9" t="s">
        <v>1352</v>
      </c>
      <c r="I51" s="9" t="s">
        <v>1353</v>
      </c>
      <c r="J51" s="9" t="s">
        <v>1354</v>
      </c>
      <c r="K51" s="9" t="s">
        <v>1127</v>
      </c>
      <c r="L51" s="9" t="s">
        <v>1348</v>
      </c>
    </row>
    <row r="52" spans="1:12" ht="21.75" customHeight="1">
      <c r="A52" s="27"/>
      <c r="B52" s="11">
        <v>1</v>
      </c>
      <c r="C52" s="1083">
        <v>2</v>
      </c>
      <c r="D52" s="1083">
        <v>3</v>
      </c>
      <c r="E52" s="1083">
        <v>4</v>
      </c>
      <c r="F52" s="1083">
        <v>5</v>
      </c>
      <c r="G52" s="1083">
        <v>6</v>
      </c>
      <c r="H52" s="1083">
        <v>7</v>
      </c>
      <c r="I52" s="1083">
        <v>8</v>
      </c>
      <c r="J52" s="1083">
        <v>9</v>
      </c>
      <c r="K52" s="1083">
        <v>10</v>
      </c>
      <c r="L52" s="949">
        <v>11</v>
      </c>
    </row>
    <row r="53" spans="1:12" ht="51.75" customHeight="1">
      <c r="A53" s="28"/>
      <c r="B53" s="21" t="s">
        <v>1136</v>
      </c>
      <c r="C53" s="14">
        <f>SUM(PRIHODI!C438)</f>
        <v>252500</v>
      </c>
      <c r="D53" s="14">
        <f>SUM(PRIHODI!D438)</f>
        <v>0</v>
      </c>
      <c r="E53" s="14">
        <f>SUM(PRIHODI!E438)</f>
        <v>0</v>
      </c>
      <c r="F53" s="14">
        <f>SUM(PRIHODI!F438)</f>
        <v>252500</v>
      </c>
      <c r="G53" s="14">
        <f>SUM(PRIHODI!G438)</f>
        <v>0</v>
      </c>
      <c r="H53" s="14">
        <f>SUM(PRIHODI!H438)</f>
        <v>0</v>
      </c>
      <c r="I53" s="14">
        <f>SUM(PRIHODI!I438)</f>
        <v>0</v>
      </c>
      <c r="J53" s="14">
        <f>SUM(PRIHODI!J438)</f>
        <v>0</v>
      </c>
      <c r="K53" s="14">
        <f>SUM(PRIHODI!K438)</f>
        <v>252500</v>
      </c>
      <c r="L53" s="14">
        <f>SUM(PRIHODI!L438)</f>
        <v>252500</v>
      </c>
    </row>
    <row r="54" spans="1:12" ht="53.25" customHeight="1">
      <c r="A54" s="28"/>
      <c r="B54" s="23" t="s">
        <v>1137</v>
      </c>
      <c r="C54" s="22">
        <f>SUM('POSEBNI DIO 24-52'!G801,)</f>
        <v>252500</v>
      </c>
      <c r="D54" s="22">
        <f>SUM('POSEBNI DIO 24-52'!H801,)</f>
        <v>0</v>
      </c>
      <c r="E54" s="22">
        <f>SUM('POSEBNI DIO 24-52'!I801,)</f>
        <v>0</v>
      </c>
      <c r="F54" s="22">
        <f>SUM('POSEBNI DIO 24-52'!J801,)</f>
        <v>252500</v>
      </c>
      <c r="G54" s="22">
        <f>SUM('POSEBNI DIO 24-52'!K801,)</f>
        <v>0</v>
      </c>
      <c r="H54" s="22">
        <f>SUM('POSEBNI DIO 24-52'!L801,)</f>
        <v>0</v>
      </c>
      <c r="I54" s="22">
        <f>SUM('POSEBNI DIO 24-52'!M801,)</f>
        <v>0</v>
      </c>
      <c r="J54" s="22">
        <f>SUM('POSEBNI DIO 24-52'!N801,)</f>
        <v>0</v>
      </c>
      <c r="K54" s="22">
        <f>SUM('POSEBNI DIO 24-52'!O801,)</f>
        <v>252500</v>
      </c>
      <c r="L54" s="22">
        <f>SUM('POSEBNI DIO 24-52'!P801,)</f>
        <v>252500</v>
      </c>
    </row>
    <row r="55" spans="1:12" ht="44.25" customHeight="1" thickBot="1">
      <c r="A55" s="29"/>
      <c r="B55" s="16" t="s">
        <v>1378</v>
      </c>
      <c r="C55" s="17">
        <f aca="true" t="shared" si="8" ref="C55:L55">SUM(C53-C54)</f>
        <v>0</v>
      </c>
      <c r="D55" s="17">
        <f t="shared" si="8"/>
        <v>0</v>
      </c>
      <c r="E55" s="17">
        <f t="shared" si="8"/>
        <v>0</v>
      </c>
      <c r="F55" s="17">
        <f t="shared" si="8"/>
        <v>0</v>
      </c>
      <c r="G55" s="17">
        <f t="shared" si="8"/>
        <v>0</v>
      </c>
      <c r="H55" s="17">
        <f t="shared" si="8"/>
        <v>0</v>
      </c>
      <c r="I55" s="17">
        <f t="shared" si="8"/>
        <v>0</v>
      </c>
      <c r="J55" s="17">
        <f t="shared" si="8"/>
        <v>0</v>
      </c>
      <c r="K55" s="17">
        <f t="shared" si="8"/>
        <v>0</v>
      </c>
      <c r="L55" s="17">
        <f t="shared" si="8"/>
        <v>0</v>
      </c>
    </row>
    <row r="56" spans="1:12" ht="27.75" customHeight="1">
      <c r="A56" s="29"/>
      <c r="B56" s="30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1:12" ht="15" customHeight="1">
      <c r="A57" s="29"/>
      <c r="B57" s="1511" t="s">
        <v>1417</v>
      </c>
      <c r="C57" s="1511"/>
      <c r="D57" s="1511"/>
      <c r="E57" s="1511"/>
      <c r="F57" s="1511"/>
      <c r="G57" s="1511"/>
      <c r="H57" s="1511"/>
      <c r="I57" s="1511"/>
      <c r="J57" s="1511"/>
      <c r="K57" s="1511"/>
      <c r="L57" s="989"/>
    </row>
    <row r="58" spans="1:12" ht="24" customHeight="1" thickBot="1">
      <c r="A58" s="29"/>
      <c r="B58" s="1512"/>
      <c r="C58" s="1512"/>
      <c r="D58" s="1512"/>
      <c r="E58" s="1512"/>
      <c r="F58" s="1512"/>
      <c r="G58" s="1512"/>
      <c r="H58" s="1512"/>
      <c r="I58" s="1512"/>
      <c r="J58" s="1512"/>
      <c r="K58" s="1512"/>
      <c r="L58" s="989"/>
    </row>
    <row r="59" spans="1:12" ht="254.25" customHeight="1">
      <c r="A59" s="29"/>
      <c r="B59" s="8" t="s">
        <v>340</v>
      </c>
      <c r="C59" s="9" t="s">
        <v>1126</v>
      </c>
      <c r="D59" s="9" t="s">
        <v>1349</v>
      </c>
      <c r="E59" s="9" t="s">
        <v>1350</v>
      </c>
      <c r="F59" s="9" t="s">
        <v>1351</v>
      </c>
      <c r="G59" s="9" t="s">
        <v>1182</v>
      </c>
      <c r="H59" s="9" t="s">
        <v>1352</v>
      </c>
      <c r="I59" s="9" t="s">
        <v>1353</v>
      </c>
      <c r="J59" s="9" t="s">
        <v>1354</v>
      </c>
      <c r="K59" s="9" t="s">
        <v>1127</v>
      </c>
      <c r="L59" s="9" t="s">
        <v>1348</v>
      </c>
    </row>
    <row r="60" spans="1:12" ht="20.25" customHeight="1">
      <c r="A60" s="29"/>
      <c r="B60" s="11">
        <v>1</v>
      </c>
      <c r="C60" s="1083">
        <v>2</v>
      </c>
      <c r="D60" s="1083">
        <v>3</v>
      </c>
      <c r="E60" s="1083">
        <v>4</v>
      </c>
      <c r="F60" s="1083">
        <v>5</v>
      </c>
      <c r="G60" s="1083">
        <v>6</v>
      </c>
      <c r="H60" s="1083">
        <v>7</v>
      </c>
      <c r="I60" s="1083">
        <v>8</v>
      </c>
      <c r="J60" s="1083">
        <v>9</v>
      </c>
      <c r="K60" s="1083">
        <v>10</v>
      </c>
      <c r="L60" s="949">
        <v>11</v>
      </c>
    </row>
    <row r="61" spans="1:12" ht="42.75" customHeight="1">
      <c r="A61" s="29"/>
      <c r="B61" s="21" t="s">
        <v>1157</v>
      </c>
      <c r="C61" s="14">
        <f>SUM(PRIHODI!C449)</f>
        <v>72515.5</v>
      </c>
      <c r="D61" s="14">
        <f>SUM(PRIHODI!D449)</f>
        <v>36000</v>
      </c>
      <c r="E61" s="14">
        <f>SUM(PRIHODI!E449)</f>
        <v>0</v>
      </c>
      <c r="F61" s="14">
        <f>SUM(PRIHODI!F449)</f>
        <v>108515.5</v>
      </c>
      <c r="G61" s="14">
        <f>SUM(PRIHODI!G449)</f>
        <v>0</v>
      </c>
      <c r="H61" s="14">
        <f>SUM(PRIHODI!H449)</f>
        <v>0</v>
      </c>
      <c r="I61" s="14">
        <f>SUM(PRIHODI!I449)</f>
        <v>0</v>
      </c>
      <c r="J61" s="14">
        <f>SUM(PRIHODI!J449)</f>
        <v>0</v>
      </c>
      <c r="K61" s="14">
        <f>SUM(PRIHODI!K449)</f>
        <v>72515.5</v>
      </c>
      <c r="L61" s="14">
        <f>SUM(PRIHODI!L449)</f>
        <v>108515.5</v>
      </c>
    </row>
    <row r="62" spans="1:12" ht="45" customHeight="1">
      <c r="A62" s="29"/>
      <c r="B62" s="21" t="s">
        <v>1158</v>
      </c>
      <c r="C62" s="22">
        <f>SUM('POSEBNI DIO 24-52'!G977)</f>
        <v>72515.5</v>
      </c>
      <c r="D62" s="22">
        <f>SUM('POSEBNI DIO 24-52'!H977)</f>
        <v>36000</v>
      </c>
      <c r="E62" s="22">
        <f>SUM('POSEBNI DIO 24-52'!I977)</f>
        <v>0</v>
      </c>
      <c r="F62" s="22">
        <f>SUM('POSEBNI DIO 24-52'!J977)</f>
        <v>108515.5</v>
      </c>
      <c r="G62" s="22">
        <f>SUM('POSEBNI DIO 24-52'!K977)</f>
        <v>0</v>
      </c>
      <c r="H62" s="22">
        <f>SUM('POSEBNI DIO 24-52'!L977)</f>
        <v>0</v>
      </c>
      <c r="I62" s="22">
        <f>SUM('POSEBNI DIO 24-52'!M977)</f>
        <v>0</v>
      </c>
      <c r="J62" s="22">
        <f>SUM('POSEBNI DIO 24-52'!N977)</f>
        <v>0</v>
      </c>
      <c r="K62" s="22">
        <f>SUM('POSEBNI DIO 24-52'!O977)</f>
        <v>72515.5</v>
      </c>
      <c r="L62" s="22">
        <f>SUM('POSEBNI DIO 24-52'!P977)</f>
        <v>108515.5</v>
      </c>
    </row>
    <row r="63" spans="1:12" ht="41.25" customHeight="1" thickBot="1">
      <c r="A63" s="29"/>
      <c r="B63" s="16" t="s">
        <v>1378</v>
      </c>
      <c r="C63" s="17">
        <f aca="true" t="shared" si="9" ref="C63:L63">SUM(C61-C62)</f>
        <v>0</v>
      </c>
      <c r="D63" s="17">
        <f t="shared" si="9"/>
        <v>0</v>
      </c>
      <c r="E63" s="17">
        <f t="shared" si="9"/>
        <v>0</v>
      </c>
      <c r="F63" s="17">
        <f t="shared" si="9"/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</row>
    <row r="64" spans="1:12" ht="260.25" customHeight="1" hidden="1">
      <c r="A64" s="29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</row>
    <row r="65" spans="1:12" ht="21.75" customHeight="1" hidden="1">
      <c r="A65" s="29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ht="67.5" customHeight="1" hidden="1">
      <c r="A66" s="29"/>
      <c r="B66" s="30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1:12" ht="35.25" customHeight="1" hidden="1">
      <c r="A67" s="29"/>
      <c r="B67" s="24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1:12" ht="42.75" customHeight="1" hidden="1">
      <c r="A68" s="29"/>
      <c r="B68" s="30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1:12" ht="65.25" customHeight="1" hidden="1">
      <c r="A69" s="29"/>
      <c r="B69" s="30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1:33" s="34" customFormat="1" ht="46.5" customHeight="1" hidden="1" thickBot="1">
      <c r="A70" s="29"/>
      <c r="B70" s="30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12" ht="13.5" customHeight="1" hidden="1">
      <c r="A71" s="20"/>
      <c r="B71" s="20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2" ht="11.25" customHeight="1">
      <c r="A72" s="35"/>
      <c r="B72" s="35"/>
      <c r="L72" s="35"/>
    </row>
    <row r="73" spans="1:12" ht="18" customHeight="1" hidden="1">
      <c r="A73" s="35"/>
      <c r="B73" s="35"/>
      <c r="L73" s="35"/>
    </row>
    <row r="74" spans="1:12" ht="0.75" customHeight="1">
      <c r="A74" s="35"/>
      <c r="B74" s="35"/>
      <c r="L74" s="35"/>
    </row>
    <row r="75" spans="1:12" ht="18" customHeight="1" hidden="1">
      <c r="A75" s="35"/>
      <c r="B75" s="35"/>
      <c r="L75" s="35"/>
    </row>
    <row r="76" spans="1:12" ht="2.25" customHeight="1" hidden="1">
      <c r="A76" s="35"/>
      <c r="B76" s="35"/>
      <c r="L76" s="35"/>
    </row>
    <row r="77" spans="1:12" ht="18" customHeight="1" hidden="1">
      <c r="A77" s="35"/>
      <c r="B77" s="35"/>
      <c r="L77" s="35"/>
    </row>
    <row r="78" spans="1:12" ht="1.5" customHeight="1">
      <c r="A78" s="35"/>
      <c r="B78" s="35"/>
      <c r="L78" s="35"/>
    </row>
    <row r="79" spans="1:12" ht="66.75" customHeight="1" thickBot="1">
      <c r="A79" s="35"/>
      <c r="B79" s="1507" t="s">
        <v>1418</v>
      </c>
      <c r="C79" s="1507"/>
      <c r="D79" s="1507"/>
      <c r="E79" s="1507"/>
      <c r="F79" s="1507"/>
      <c r="G79" s="1507"/>
      <c r="H79" s="1507"/>
      <c r="I79" s="1507"/>
      <c r="J79" s="1507"/>
      <c r="K79" s="1507"/>
      <c r="L79" s="987"/>
    </row>
    <row r="80" spans="1:12" ht="256.5" customHeight="1">
      <c r="A80" s="35"/>
      <c r="B80" s="8" t="s">
        <v>340</v>
      </c>
      <c r="C80" s="9" t="s">
        <v>1126</v>
      </c>
      <c r="D80" s="9" t="s">
        <v>1349</v>
      </c>
      <c r="E80" s="9" t="s">
        <v>1350</v>
      </c>
      <c r="F80" s="9" t="s">
        <v>1351</v>
      </c>
      <c r="G80" s="9" t="s">
        <v>1182</v>
      </c>
      <c r="H80" s="9" t="s">
        <v>1352</v>
      </c>
      <c r="I80" s="9" t="s">
        <v>1353</v>
      </c>
      <c r="J80" s="9" t="s">
        <v>1354</v>
      </c>
      <c r="K80" s="9" t="s">
        <v>1127</v>
      </c>
      <c r="L80" s="9" t="s">
        <v>1348</v>
      </c>
    </row>
    <row r="81" spans="1:12" ht="18">
      <c r="A81" s="35"/>
      <c r="B81" s="11">
        <v>1</v>
      </c>
      <c r="C81" s="1083">
        <v>2</v>
      </c>
      <c r="D81" s="1083">
        <v>3</v>
      </c>
      <c r="E81" s="1083">
        <v>4</v>
      </c>
      <c r="F81" s="1083">
        <v>5</v>
      </c>
      <c r="G81" s="1083">
        <v>6</v>
      </c>
      <c r="H81" s="1083">
        <v>7</v>
      </c>
      <c r="I81" s="1083">
        <v>8</v>
      </c>
      <c r="J81" s="1083">
        <v>9</v>
      </c>
      <c r="K81" s="1083">
        <v>10</v>
      </c>
      <c r="L81" s="949">
        <v>11</v>
      </c>
    </row>
    <row r="82" spans="1:12" ht="56.25" customHeight="1">
      <c r="A82" s="35"/>
      <c r="B82" s="21" t="s">
        <v>1052</v>
      </c>
      <c r="C82" s="22">
        <f>SUM(PRIHODI!C463)</f>
        <v>5000000</v>
      </c>
      <c r="D82" s="22">
        <f>SUM(PRIHODI!D463)</f>
        <v>0</v>
      </c>
      <c r="E82" s="22">
        <f>SUM(PRIHODI!E463)</f>
        <v>0</v>
      </c>
      <c r="F82" s="22">
        <f>SUM(PRIHODI!F463)</f>
        <v>5000000</v>
      </c>
      <c r="G82" s="22">
        <f>SUM(PRIHODI!G463)</f>
        <v>71463.17</v>
      </c>
      <c r="H82" s="22">
        <f>SUM(PRIHODI!H463)</f>
        <v>0</v>
      </c>
      <c r="I82" s="22">
        <f>SUM(PRIHODI!I463)</f>
        <v>0</v>
      </c>
      <c r="J82" s="22">
        <f>SUM(PRIHODI!J463)</f>
        <v>71463.17</v>
      </c>
      <c r="K82" s="22">
        <f>SUM(PRIHODI!K463)</f>
        <v>5071463.17</v>
      </c>
      <c r="L82" s="22">
        <f>SUM(PRIHODI!L463)</f>
        <v>5071463.17</v>
      </c>
    </row>
    <row r="83" spans="1:12" ht="48" customHeight="1">
      <c r="A83" s="35"/>
      <c r="B83" s="21" t="s">
        <v>1428</v>
      </c>
      <c r="C83" s="22">
        <f>SUM(PRIHODI!C464)</f>
        <v>3942809.61</v>
      </c>
      <c r="D83" s="22">
        <f>SUM(PRIHODI!D464)</f>
        <v>1163147.9</v>
      </c>
      <c r="E83" s="22">
        <f>SUM(PRIHODI!E464)</f>
        <v>0</v>
      </c>
      <c r="F83" s="22">
        <f>SUM(PRIHODI!F464)</f>
        <v>5105957.51</v>
      </c>
      <c r="G83" s="22">
        <f>SUM(PRIHODI!G464)</f>
        <v>0</v>
      </c>
      <c r="H83" s="22">
        <f>SUM(PRIHODI!H464)</f>
        <v>0</v>
      </c>
      <c r="I83" s="22">
        <f>SUM(PRIHODI!I464)</f>
        <v>0</v>
      </c>
      <c r="J83" s="22">
        <f>SUM(PRIHODI!J464)</f>
        <v>0</v>
      </c>
      <c r="K83" s="22">
        <f>SUM(PRIHODI!K464)</f>
        <v>3942809.61</v>
      </c>
      <c r="L83" s="22">
        <f>SUM(PRIHODI!L464)</f>
        <v>5105957.51</v>
      </c>
    </row>
    <row r="84" spans="1:12" ht="33" customHeight="1">
      <c r="A84" s="35"/>
      <c r="B84" s="23" t="s">
        <v>361</v>
      </c>
      <c r="C84" s="22">
        <f aca="true" t="shared" si="10" ref="C84:L84">SUM(C82:C83)</f>
        <v>8942809.61</v>
      </c>
      <c r="D84" s="22">
        <f t="shared" si="10"/>
        <v>1163147.9</v>
      </c>
      <c r="E84" s="22">
        <f t="shared" si="10"/>
        <v>0</v>
      </c>
      <c r="F84" s="22">
        <f t="shared" si="10"/>
        <v>10105957.51</v>
      </c>
      <c r="G84" s="22">
        <f t="shared" si="10"/>
        <v>71463.17</v>
      </c>
      <c r="H84" s="22">
        <f t="shared" si="10"/>
        <v>0</v>
      </c>
      <c r="I84" s="22">
        <f t="shared" si="10"/>
        <v>0</v>
      </c>
      <c r="J84" s="22">
        <f t="shared" si="10"/>
        <v>71463.17</v>
      </c>
      <c r="K84" s="22">
        <f t="shared" si="10"/>
        <v>9014272.78</v>
      </c>
      <c r="L84" s="22">
        <f t="shared" si="10"/>
        <v>10177420.68</v>
      </c>
    </row>
    <row r="85" spans="1:12" ht="47.25" customHeight="1">
      <c r="A85" s="35"/>
      <c r="B85" s="21" t="s">
        <v>1053</v>
      </c>
      <c r="C85" s="22">
        <f>SUM('POSEBNI DIO 24-52'!G978)</f>
        <v>8942809.61</v>
      </c>
      <c r="D85" s="22">
        <f>SUM('POSEBNI DIO 24-52'!H978)</f>
        <v>3260000</v>
      </c>
      <c r="E85" s="22">
        <f>SUM('POSEBNI DIO 24-52'!I978)</f>
        <v>2096852.1</v>
      </c>
      <c r="F85" s="22">
        <f>SUM('POSEBNI DIO 24-52'!J978)</f>
        <v>10105957.51</v>
      </c>
      <c r="G85" s="22">
        <f>SUM('POSEBNI DIO 24-52'!K978)</f>
        <v>71463.17</v>
      </c>
      <c r="H85" s="22">
        <f>SUM('POSEBNI DIO 24-52'!L978)</f>
        <v>0</v>
      </c>
      <c r="I85" s="22">
        <f>SUM('POSEBNI DIO 24-52'!M978)</f>
        <v>0</v>
      </c>
      <c r="J85" s="22">
        <f>SUM('POSEBNI DIO 24-52'!N978)</f>
        <v>71463.17</v>
      </c>
      <c r="K85" s="22">
        <f>SUM('POSEBNI DIO 24-52'!O978)</f>
        <v>9014272.78</v>
      </c>
      <c r="L85" s="22">
        <f>SUM('POSEBNI DIO 24-52'!P978)</f>
        <v>10177420.68</v>
      </c>
    </row>
    <row r="86" spans="1:12" ht="42" customHeight="1">
      <c r="A86" s="35"/>
      <c r="B86" s="21" t="s">
        <v>362</v>
      </c>
      <c r="C86" s="14">
        <f aca="true" t="shared" si="11" ref="C86:L86">SUM(C85:C85)</f>
        <v>8942809.61</v>
      </c>
      <c r="D86" s="14">
        <f t="shared" si="11"/>
        <v>3260000</v>
      </c>
      <c r="E86" s="14">
        <f t="shared" si="11"/>
        <v>2096852.1</v>
      </c>
      <c r="F86" s="14">
        <f t="shared" si="11"/>
        <v>10105957.51</v>
      </c>
      <c r="G86" s="14">
        <f t="shared" si="11"/>
        <v>71463.17</v>
      </c>
      <c r="H86" s="14">
        <f t="shared" si="11"/>
        <v>0</v>
      </c>
      <c r="I86" s="14">
        <f t="shared" si="11"/>
        <v>0</v>
      </c>
      <c r="J86" s="14">
        <f t="shared" si="11"/>
        <v>71463.17</v>
      </c>
      <c r="K86" s="14">
        <f t="shared" si="11"/>
        <v>9014272.78</v>
      </c>
      <c r="L86" s="14">
        <f t="shared" si="11"/>
        <v>10177420.68</v>
      </c>
    </row>
    <row r="87" spans="1:12" ht="38.25" customHeight="1" thickBot="1">
      <c r="A87" s="35"/>
      <c r="B87" s="16" t="s">
        <v>1378</v>
      </c>
      <c r="C87" s="36">
        <f aca="true" t="shared" si="12" ref="C87:L87">SUM(C84-C86)</f>
        <v>0</v>
      </c>
      <c r="D87" s="36">
        <f t="shared" si="12"/>
        <v>-2096852.1</v>
      </c>
      <c r="E87" s="36">
        <f t="shared" si="12"/>
        <v>-2096852.1</v>
      </c>
      <c r="F87" s="36">
        <f t="shared" si="12"/>
        <v>0</v>
      </c>
      <c r="G87" s="36">
        <f t="shared" si="12"/>
        <v>0</v>
      </c>
      <c r="H87" s="36">
        <f t="shared" si="12"/>
        <v>0</v>
      </c>
      <c r="I87" s="36">
        <f t="shared" si="12"/>
        <v>0</v>
      </c>
      <c r="J87" s="36">
        <f t="shared" si="12"/>
        <v>0</v>
      </c>
      <c r="K87" s="36">
        <f t="shared" si="12"/>
        <v>0</v>
      </c>
      <c r="L87" s="36">
        <f t="shared" si="12"/>
        <v>0</v>
      </c>
    </row>
    <row r="88" spans="1:12" ht="21.75" customHeight="1">
      <c r="A88" s="35"/>
      <c r="B88" s="30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1:12" ht="49.5" customHeight="1" thickBot="1">
      <c r="A89" s="35"/>
      <c r="B89" s="1507" t="s">
        <v>1419</v>
      </c>
      <c r="C89" s="1507"/>
      <c r="D89" s="1507"/>
      <c r="E89" s="1507"/>
      <c r="F89" s="1507"/>
      <c r="G89" s="1507"/>
      <c r="H89" s="1507"/>
      <c r="I89" s="1507"/>
      <c r="J89" s="1507"/>
      <c r="K89" s="1507"/>
      <c r="L89" s="987"/>
    </row>
    <row r="90" spans="1:12" ht="257.25" customHeight="1">
      <c r="A90" s="35"/>
      <c r="B90" s="8" t="s">
        <v>340</v>
      </c>
      <c r="C90" s="9" t="s">
        <v>1126</v>
      </c>
      <c r="D90" s="9" t="s">
        <v>1349</v>
      </c>
      <c r="E90" s="9" t="s">
        <v>1350</v>
      </c>
      <c r="F90" s="9" t="s">
        <v>1351</v>
      </c>
      <c r="G90" s="9" t="s">
        <v>1182</v>
      </c>
      <c r="H90" s="9" t="s">
        <v>1352</v>
      </c>
      <c r="I90" s="9" t="s">
        <v>1353</v>
      </c>
      <c r="J90" s="9" t="s">
        <v>1354</v>
      </c>
      <c r="K90" s="9" t="s">
        <v>1127</v>
      </c>
      <c r="L90" s="9" t="s">
        <v>1348</v>
      </c>
    </row>
    <row r="91" spans="1:12" ht="21.75" customHeight="1">
      <c r="A91" s="35"/>
      <c r="B91" s="11">
        <v>1</v>
      </c>
      <c r="C91" s="1083">
        <v>2</v>
      </c>
      <c r="D91" s="1083">
        <v>3</v>
      </c>
      <c r="E91" s="1083">
        <v>4</v>
      </c>
      <c r="F91" s="1083">
        <v>5</v>
      </c>
      <c r="G91" s="1083">
        <v>6</v>
      </c>
      <c r="H91" s="1083">
        <v>7</v>
      </c>
      <c r="I91" s="1083">
        <v>8</v>
      </c>
      <c r="J91" s="1083">
        <v>9</v>
      </c>
      <c r="K91" s="1083">
        <v>10</v>
      </c>
      <c r="L91" s="949">
        <v>11</v>
      </c>
    </row>
    <row r="92" spans="1:12" ht="51" customHeight="1">
      <c r="A92" s="35"/>
      <c r="B92" s="21" t="s">
        <v>1043</v>
      </c>
      <c r="C92" s="22">
        <f>SUM(PRIHODI!C472)</f>
        <v>16000</v>
      </c>
      <c r="D92" s="22">
        <f>SUM(PRIHODI!D472)</f>
        <v>0</v>
      </c>
      <c r="E92" s="22">
        <f>SUM(PRIHODI!E472)</f>
        <v>0</v>
      </c>
      <c r="F92" s="22">
        <f>SUM(PRIHODI!F472)</f>
        <v>16000</v>
      </c>
      <c r="G92" s="22">
        <f>SUM(PRIHODI!G472)</f>
        <v>0</v>
      </c>
      <c r="H92" s="22">
        <f>SUM(PRIHODI!H472)</f>
        <v>0</v>
      </c>
      <c r="I92" s="22">
        <f>SUM(PRIHODI!I472)</f>
        <v>0</v>
      </c>
      <c r="J92" s="22">
        <f>SUM(PRIHODI!J472)</f>
        <v>0</v>
      </c>
      <c r="K92" s="22">
        <f>SUM(PRIHODI!K472)</f>
        <v>16000</v>
      </c>
      <c r="L92" s="22">
        <f>SUM(PRIHODI!L472)</f>
        <v>16000</v>
      </c>
    </row>
    <row r="93" spans="1:12" ht="45.75" customHeight="1">
      <c r="A93" s="35"/>
      <c r="B93" s="13" t="s">
        <v>1430</v>
      </c>
      <c r="C93" s="22">
        <f>SUM(PRIHODI!C474)</f>
        <v>0</v>
      </c>
      <c r="D93" s="22">
        <f>SUM(PRIHODI!D474)</f>
        <v>34043.37</v>
      </c>
      <c r="E93" s="22">
        <f>SUM(PRIHODI!E474)</f>
        <v>0</v>
      </c>
      <c r="F93" s="22">
        <f>SUM(PRIHODI!F474)</f>
        <v>34043.37</v>
      </c>
      <c r="G93" s="22">
        <f>SUM(PRIHODI!G474)</f>
        <v>0</v>
      </c>
      <c r="H93" s="22">
        <f>SUM(PRIHODI!H474)</f>
        <v>0</v>
      </c>
      <c r="I93" s="22">
        <f>SUM(PRIHODI!I474)</f>
        <v>0</v>
      </c>
      <c r="J93" s="22">
        <f>SUM(PRIHODI!J474)</f>
        <v>0</v>
      </c>
      <c r="K93" s="22">
        <f>SUM(PRIHODI!K474)</f>
        <v>0</v>
      </c>
      <c r="L93" s="22">
        <f>SUM(PRIHODI!L474)</f>
        <v>34043.37</v>
      </c>
    </row>
    <row r="94" spans="1:12" ht="42" customHeight="1">
      <c r="A94" s="35"/>
      <c r="B94" s="23" t="s">
        <v>361</v>
      </c>
      <c r="C94" s="22">
        <f aca="true" t="shared" si="13" ref="C94:L94">SUM(C92+C93)</f>
        <v>16000</v>
      </c>
      <c r="D94" s="22">
        <f t="shared" si="13"/>
        <v>34043.37</v>
      </c>
      <c r="E94" s="22">
        <f t="shared" si="13"/>
        <v>0</v>
      </c>
      <c r="F94" s="22">
        <f t="shared" si="13"/>
        <v>50043.37</v>
      </c>
      <c r="G94" s="22">
        <f t="shared" si="13"/>
        <v>0</v>
      </c>
      <c r="H94" s="22">
        <f t="shared" si="13"/>
        <v>0</v>
      </c>
      <c r="I94" s="22">
        <f t="shared" si="13"/>
        <v>0</v>
      </c>
      <c r="J94" s="22">
        <f t="shared" si="13"/>
        <v>0</v>
      </c>
      <c r="K94" s="22">
        <f t="shared" si="13"/>
        <v>16000</v>
      </c>
      <c r="L94" s="22">
        <f t="shared" si="13"/>
        <v>50043.37</v>
      </c>
    </row>
    <row r="95" spans="1:12" ht="49.5" customHeight="1">
      <c r="A95" s="35"/>
      <c r="B95" s="23" t="s">
        <v>1044</v>
      </c>
      <c r="C95" s="22">
        <f>SUM('POSEBNI DIO 24-52'!G979,)</f>
        <v>16000</v>
      </c>
      <c r="D95" s="22">
        <f>SUM('POSEBNI DIO 24-52'!H979,)</f>
        <v>34043.37</v>
      </c>
      <c r="E95" s="22">
        <f>SUM('POSEBNI DIO 24-52'!I979,)</f>
        <v>0</v>
      </c>
      <c r="F95" s="22">
        <f>SUM('POSEBNI DIO 24-52'!J979,)</f>
        <v>50043.37</v>
      </c>
      <c r="G95" s="22">
        <f>SUM('POSEBNI DIO 24-52'!K979,)</f>
        <v>0</v>
      </c>
      <c r="H95" s="22">
        <f>SUM('POSEBNI DIO 24-52'!L979,)</f>
        <v>0</v>
      </c>
      <c r="I95" s="22">
        <f>SUM('POSEBNI DIO 24-52'!M979,)</f>
        <v>0</v>
      </c>
      <c r="J95" s="22">
        <f>SUM('POSEBNI DIO 24-52'!N979,)</f>
        <v>0</v>
      </c>
      <c r="K95" s="22">
        <f>SUM('POSEBNI DIO 24-52'!O979,)</f>
        <v>16000</v>
      </c>
      <c r="L95" s="22">
        <f>SUM('POSEBNI DIO 24-52'!P979,)</f>
        <v>50043.37</v>
      </c>
    </row>
    <row r="96" spans="2:12" ht="44.25" customHeight="1" thickBot="1">
      <c r="B96" s="16" t="s">
        <v>1378</v>
      </c>
      <c r="C96" s="17">
        <f aca="true" t="shared" si="14" ref="C96:L96">SUM(C94-C95)</f>
        <v>0</v>
      </c>
      <c r="D96" s="17">
        <f t="shared" si="14"/>
        <v>0</v>
      </c>
      <c r="E96" s="17">
        <f t="shared" si="14"/>
        <v>0</v>
      </c>
      <c r="F96" s="17">
        <f t="shared" si="14"/>
        <v>0</v>
      </c>
      <c r="G96" s="17">
        <f t="shared" si="14"/>
        <v>0</v>
      </c>
      <c r="H96" s="17">
        <f t="shared" si="14"/>
        <v>0</v>
      </c>
      <c r="I96" s="17">
        <f t="shared" si="14"/>
        <v>0</v>
      </c>
      <c r="J96" s="17">
        <f t="shared" si="14"/>
        <v>0</v>
      </c>
      <c r="K96" s="17">
        <f t="shared" si="14"/>
        <v>0</v>
      </c>
      <c r="L96" s="17">
        <f t="shared" si="14"/>
        <v>0</v>
      </c>
    </row>
    <row r="97" spans="2:12" ht="12.75">
      <c r="B97" s="35"/>
      <c r="L97" s="35"/>
    </row>
    <row r="98" spans="2:12" ht="12.75">
      <c r="B98" s="35"/>
      <c r="L98" s="35"/>
    </row>
    <row r="99" spans="2:12" ht="12.75">
      <c r="B99" s="35"/>
      <c r="L99" s="35"/>
    </row>
  </sheetData>
  <sheetProtection/>
  <mergeCells count="7">
    <mergeCell ref="B79:K79"/>
    <mergeCell ref="B89:K89"/>
    <mergeCell ref="B2:K2"/>
    <mergeCell ref="B41:K42"/>
    <mergeCell ref="B49:K50"/>
    <mergeCell ref="B57:K58"/>
    <mergeCell ref="B24:H24"/>
  </mergeCells>
  <printOptions/>
  <pageMargins left="1.4960629921259843" right="0.7480314960629921" top="0.7086614173228347" bottom="0.4330708661417323" header="0.31496062992125984" footer="0.35433070866141736"/>
  <pageSetup firstPageNumber="5" useFirstPageNumber="1" horizontalDpi="600" verticalDpi="600" orientation="landscape" paperSize="9" scale="34" r:id="rId2"/>
  <headerFooter alignWithMargins="0">
    <oddHeader>&amp;C&amp;20&amp;P</oddHeader>
  </headerFooter>
  <rowBreaks count="2" manualBreakCount="2">
    <brk id="22" max="11" man="1"/>
    <brk id="47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2"/>
  <sheetViews>
    <sheetView view="pageBreakPreview" zoomScale="55" zoomScaleNormal="60" zoomScaleSheetLayoutView="55" zoomScalePageLayoutView="0" workbookViewId="0" topLeftCell="A202">
      <selection activeCell="B211" sqref="B211"/>
    </sheetView>
  </sheetViews>
  <sheetFormatPr defaultColWidth="9.140625" defaultRowHeight="12.75"/>
  <cols>
    <col min="1" max="1" width="17.7109375" style="90" customWidth="1"/>
    <col min="2" max="2" width="101.140625" style="91" customWidth="1"/>
    <col min="3" max="11" width="26.140625" style="91" customWidth="1"/>
    <col min="12" max="12" width="28.00390625" style="91" customWidth="1"/>
    <col min="13" max="13" width="28.7109375" style="91" customWidth="1"/>
    <col min="14" max="16384" width="9.140625" style="91" customWidth="1"/>
  </cols>
  <sheetData>
    <row r="1" spans="2:11" ht="60" customHeight="1" thickBot="1">
      <c r="B1" s="1526" t="s">
        <v>1183</v>
      </c>
      <c r="C1" s="1526"/>
      <c r="D1" s="1526"/>
      <c r="E1" s="1526"/>
      <c r="F1" s="1526"/>
      <c r="G1" s="1526"/>
      <c r="H1" s="1526"/>
      <c r="I1" s="1526"/>
      <c r="J1" s="1526"/>
      <c r="K1" s="1526"/>
    </row>
    <row r="2" spans="1:12" ht="259.5" customHeight="1">
      <c r="A2" s="92" t="s">
        <v>323</v>
      </c>
      <c r="B2" s="93" t="s">
        <v>342</v>
      </c>
      <c r="C2" s="813" t="s">
        <v>1124</v>
      </c>
      <c r="D2" s="813" t="s">
        <v>1332</v>
      </c>
      <c r="E2" s="813" t="s">
        <v>1333</v>
      </c>
      <c r="F2" s="813" t="s">
        <v>1334</v>
      </c>
      <c r="G2" s="813" t="s">
        <v>1184</v>
      </c>
      <c r="H2" s="813" t="s">
        <v>1335</v>
      </c>
      <c r="I2" s="813" t="s">
        <v>1336</v>
      </c>
      <c r="J2" s="813" t="s">
        <v>1337</v>
      </c>
      <c r="K2" s="813" t="s">
        <v>1125</v>
      </c>
      <c r="L2" s="813" t="s">
        <v>1331</v>
      </c>
    </row>
    <row r="3" spans="1:12" ht="22.5" customHeight="1">
      <c r="A3" s="94">
        <v>0</v>
      </c>
      <c r="B3" s="95">
        <v>1</v>
      </c>
      <c r="C3" s="1241">
        <v>2</v>
      </c>
      <c r="D3" s="1241">
        <v>3</v>
      </c>
      <c r="E3" s="1241">
        <v>4</v>
      </c>
      <c r="F3" s="1241">
        <v>5</v>
      </c>
      <c r="G3" s="1241">
        <v>6</v>
      </c>
      <c r="H3" s="1241">
        <v>7</v>
      </c>
      <c r="I3" s="1241">
        <v>8</v>
      </c>
      <c r="J3" s="1241">
        <v>9</v>
      </c>
      <c r="K3" s="1241">
        <v>10</v>
      </c>
      <c r="L3" s="990">
        <v>11</v>
      </c>
    </row>
    <row r="4" spans="1:12" ht="19.5" customHeight="1">
      <c r="A4" s="96"/>
      <c r="B4" s="100"/>
      <c r="C4" s="1242"/>
      <c r="D4" s="1242"/>
      <c r="E4" s="1242"/>
      <c r="F4" s="1242"/>
      <c r="G4" s="1242"/>
      <c r="H4" s="1242"/>
      <c r="I4" s="1242"/>
      <c r="J4" s="1242"/>
      <c r="K4" s="1242"/>
      <c r="L4" s="867"/>
    </row>
    <row r="5" spans="1:12" ht="33" customHeight="1">
      <c r="A5" s="97">
        <v>710000</v>
      </c>
      <c r="B5" s="98" t="s">
        <v>343</v>
      </c>
      <c r="C5" s="1242"/>
      <c r="D5" s="1242"/>
      <c r="E5" s="1242"/>
      <c r="F5" s="1242"/>
      <c r="G5" s="1242"/>
      <c r="H5" s="1242"/>
      <c r="I5" s="1242"/>
      <c r="J5" s="1242"/>
      <c r="K5" s="1242"/>
      <c r="L5" s="867"/>
    </row>
    <row r="6" spans="1:12" ht="33" customHeight="1">
      <c r="A6" s="99">
        <v>711100</v>
      </c>
      <c r="B6" s="100" t="s">
        <v>157</v>
      </c>
      <c r="C6" s="991">
        <f>SUM(C63)</f>
        <v>5000</v>
      </c>
      <c r="D6" s="991">
        <f>SUM(D63)</f>
        <v>0</v>
      </c>
      <c r="E6" s="991"/>
      <c r="F6" s="991">
        <f>C6+D6-E6</f>
        <v>5000</v>
      </c>
      <c r="G6" s="991">
        <f>SUM(G63)</f>
        <v>0</v>
      </c>
      <c r="H6" s="991"/>
      <c r="I6" s="991"/>
      <c r="J6" s="991">
        <f>G6+H6-I6</f>
        <v>0</v>
      </c>
      <c r="K6" s="991">
        <f>SUM(K63)</f>
        <v>5000</v>
      </c>
      <c r="L6" s="991">
        <f>F6+J6</f>
        <v>5000</v>
      </c>
    </row>
    <row r="7" spans="1:12" ht="33" customHeight="1">
      <c r="A7" s="101">
        <v>713100</v>
      </c>
      <c r="B7" s="113" t="s">
        <v>158</v>
      </c>
      <c r="C7" s="102">
        <f>SUM(C68)</f>
        <v>20000</v>
      </c>
      <c r="D7" s="102">
        <f>SUM(D68)</f>
        <v>0</v>
      </c>
      <c r="E7" s="102"/>
      <c r="F7" s="991">
        <f>C7+D7-E7</f>
        <v>20000</v>
      </c>
      <c r="G7" s="102">
        <f>SUM(G68)</f>
        <v>0</v>
      </c>
      <c r="H7" s="102"/>
      <c r="I7" s="102"/>
      <c r="J7" s="991">
        <f>G7+H7-I7</f>
        <v>0</v>
      </c>
      <c r="K7" s="102">
        <f>SUM(K68)</f>
        <v>20000</v>
      </c>
      <c r="L7" s="991">
        <f>F7+J7</f>
        <v>20000</v>
      </c>
    </row>
    <row r="8" spans="1:12" ht="31.5" customHeight="1">
      <c r="A8" s="101">
        <v>714100</v>
      </c>
      <c r="B8" s="113" t="s">
        <v>348</v>
      </c>
      <c r="C8" s="102">
        <f>SUM(C77)</f>
        <v>6690000</v>
      </c>
      <c r="D8" s="102">
        <f aca="true" t="shared" si="0" ref="D8:L8">SUM(D77)</f>
        <v>218000</v>
      </c>
      <c r="E8" s="102">
        <f t="shared" si="0"/>
        <v>682861.75</v>
      </c>
      <c r="F8" s="102">
        <f t="shared" si="0"/>
        <v>6225138.25</v>
      </c>
      <c r="G8" s="102">
        <f t="shared" si="0"/>
        <v>0</v>
      </c>
      <c r="H8" s="102">
        <f t="shared" si="0"/>
        <v>0</v>
      </c>
      <c r="I8" s="102">
        <f t="shared" si="0"/>
        <v>0</v>
      </c>
      <c r="J8" s="102">
        <f t="shared" si="0"/>
        <v>0</v>
      </c>
      <c r="K8" s="102">
        <f t="shared" si="0"/>
        <v>6690000</v>
      </c>
      <c r="L8" s="102">
        <f t="shared" si="0"/>
        <v>6225138.25</v>
      </c>
    </row>
    <row r="9" spans="1:12" ht="55.5" customHeight="1">
      <c r="A9" s="103">
        <v>715100</v>
      </c>
      <c r="B9" s="104" t="s">
        <v>363</v>
      </c>
      <c r="C9" s="112">
        <f>SUM(C86)</f>
        <v>20000</v>
      </c>
      <c r="D9" s="112">
        <f aca="true" t="shared" si="1" ref="D9:L9">SUM(D86)</f>
        <v>0</v>
      </c>
      <c r="E9" s="112">
        <f t="shared" si="1"/>
        <v>0</v>
      </c>
      <c r="F9" s="112">
        <f t="shared" si="1"/>
        <v>20000</v>
      </c>
      <c r="G9" s="112">
        <f t="shared" si="1"/>
        <v>0</v>
      </c>
      <c r="H9" s="112">
        <f t="shared" si="1"/>
        <v>0</v>
      </c>
      <c r="I9" s="112">
        <f t="shared" si="1"/>
        <v>0</v>
      </c>
      <c r="J9" s="112">
        <f t="shared" si="1"/>
        <v>0</v>
      </c>
      <c r="K9" s="112">
        <f t="shared" si="1"/>
        <v>20000</v>
      </c>
      <c r="L9" s="112">
        <f t="shared" si="1"/>
        <v>20000</v>
      </c>
    </row>
    <row r="10" spans="1:12" ht="52.5" customHeight="1">
      <c r="A10" s="101">
        <v>715900</v>
      </c>
      <c r="B10" s="104" t="s">
        <v>250</v>
      </c>
      <c r="C10" s="102">
        <f>SUM(C90)</f>
        <v>31000</v>
      </c>
      <c r="D10" s="102">
        <f aca="true" t="shared" si="2" ref="D10:L10">SUM(D90)</f>
        <v>0</v>
      </c>
      <c r="E10" s="102">
        <f t="shared" si="2"/>
        <v>29000</v>
      </c>
      <c r="F10" s="102">
        <f t="shared" si="2"/>
        <v>2000</v>
      </c>
      <c r="G10" s="102">
        <f t="shared" si="2"/>
        <v>0</v>
      </c>
      <c r="H10" s="102">
        <f t="shared" si="2"/>
        <v>0</v>
      </c>
      <c r="I10" s="102">
        <f t="shared" si="2"/>
        <v>0</v>
      </c>
      <c r="J10" s="102">
        <f t="shared" si="2"/>
        <v>0</v>
      </c>
      <c r="K10" s="102">
        <f t="shared" si="2"/>
        <v>31000</v>
      </c>
      <c r="L10" s="102">
        <f t="shared" si="2"/>
        <v>2000</v>
      </c>
    </row>
    <row r="11" spans="1:12" ht="33" customHeight="1">
      <c r="A11" s="101">
        <v>716100</v>
      </c>
      <c r="B11" s="113" t="s">
        <v>367</v>
      </c>
      <c r="C11" s="102">
        <f>SUM(C99)</f>
        <v>10758495</v>
      </c>
      <c r="D11" s="102">
        <f aca="true" t="shared" si="3" ref="D11:L11">SUM(D99)</f>
        <v>0</v>
      </c>
      <c r="E11" s="102">
        <f t="shared" si="3"/>
        <v>3259529</v>
      </c>
      <c r="F11" s="102">
        <f t="shared" si="3"/>
        <v>7498966</v>
      </c>
      <c r="G11" s="102">
        <f t="shared" si="3"/>
        <v>0</v>
      </c>
      <c r="H11" s="102">
        <f t="shared" si="3"/>
        <v>0</v>
      </c>
      <c r="I11" s="102">
        <f t="shared" si="3"/>
        <v>0</v>
      </c>
      <c r="J11" s="102">
        <f t="shared" si="3"/>
        <v>0</v>
      </c>
      <c r="K11" s="102">
        <f t="shared" si="3"/>
        <v>10758495</v>
      </c>
      <c r="L11" s="102">
        <f t="shared" si="3"/>
        <v>7498966</v>
      </c>
    </row>
    <row r="12" spans="1:12" ht="33" customHeight="1">
      <c r="A12" s="105">
        <v>717100</v>
      </c>
      <c r="B12" s="132" t="s">
        <v>372</v>
      </c>
      <c r="C12" s="102">
        <f>SUM(C104)</f>
        <v>14003120</v>
      </c>
      <c r="D12" s="102">
        <f aca="true" t="shared" si="4" ref="D12:L12">SUM(D104)</f>
        <v>0</v>
      </c>
      <c r="E12" s="102">
        <f t="shared" si="4"/>
        <v>2068315</v>
      </c>
      <c r="F12" s="102">
        <f t="shared" si="4"/>
        <v>11934805</v>
      </c>
      <c r="G12" s="102">
        <f t="shared" si="4"/>
        <v>0</v>
      </c>
      <c r="H12" s="102">
        <f t="shared" si="4"/>
        <v>0</v>
      </c>
      <c r="I12" s="102">
        <f t="shared" si="4"/>
        <v>0</v>
      </c>
      <c r="J12" s="102">
        <f t="shared" si="4"/>
        <v>0</v>
      </c>
      <c r="K12" s="102">
        <f t="shared" si="4"/>
        <v>14003120</v>
      </c>
      <c r="L12" s="102">
        <f t="shared" si="4"/>
        <v>11934805</v>
      </c>
    </row>
    <row r="13" spans="1:12" ht="33" customHeight="1">
      <c r="A13" s="106">
        <v>719100</v>
      </c>
      <c r="B13" s="107" t="s">
        <v>493</v>
      </c>
      <c r="C13" s="102">
        <f>SUM(C401)</f>
        <v>2500</v>
      </c>
      <c r="D13" s="102">
        <f aca="true" t="shared" si="5" ref="D13:L13">SUM(D401)</f>
        <v>0</v>
      </c>
      <c r="E13" s="102">
        <f t="shared" si="5"/>
        <v>0</v>
      </c>
      <c r="F13" s="102">
        <f t="shared" si="5"/>
        <v>2500</v>
      </c>
      <c r="G13" s="102">
        <f t="shared" si="5"/>
        <v>0</v>
      </c>
      <c r="H13" s="102">
        <f t="shared" si="5"/>
        <v>0</v>
      </c>
      <c r="I13" s="102">
        <f t="shared" si="5"/>
        <v>0</v>
      </c>
      <c r="J13" s="102">
        <f t="shared" si="5"/>
        <v>0</v>
      </c>
      <c r="K13" s="102">
        <f t="shared" si="5"/>
        <v>2500</v>
      </c>
      <c r="L13" s="102">
        <f t="shared" si="5"/>
        <v>2500</v>
      </c>
    </row>
    <row r="14" spans="1:12" ht="33" customHeight="1">
      <c r="A14" s="108"/>
      <c r="B14" s="109" t="s">
        <v>374</v>
      </c>
      <c r="C14" s="1243">
        <f>SUM(C6:C13)</f>
        <v>31530115</v>
      </c>
      <c r="D14" s="1243">
        <f>SUM(D6:D13)</f>
        <v>218000</v>
      </c>
      <c r="E14" s="1243">
        <f aca="true" t="shared" si="6" ref="E14:L14">SUM(E6:E13)</f>
        <v>6039705.75</v>
      </c>
      <c r="F14" s="1243">
        <f t="shared" si="6"/>
        <v>25708409.25</v>
      </c>
      <c r="G14" s="1243">
        <f t="shared" si="6"/>
        <v>0</v>
      </c>
      <c r="H14" s="1243">
        <f t="shared" si="6"/>
        <v>0</v>
      </c>
      <c r="I14" s="1243">
        <f t="shared" si="6"/>
        <v>0</v>
      </c>
      <c r="J14" s="1243">
        <f t="shared" si="6"/>
        <v>0</v>
      </c>
      <c r="K14" s="1243">
        <f t="shared" si="6"/>
        <v>31530115</v>
      </c>
      <c r="L14" s="1243">
        <f t="shared" si="6"/>
        <v>25708409.25</v>
      </c>
    </row>
    <row r="15" spans="1:12" ht="33" customHeight="1">
      <c r="A15" s="110">
        <v>720000</v>
      </c>
      <c r="B15" s="111" t="s">
        <v>750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</row>
    <row r="16" spans="1:12" ht="57" customHeight="1">
      <c r="A16" s="114">
        <v>721100</v>
      </c>
      <c r="B16" s="115" t="s">
        <v>376</v>
      </c>
      <c r="C16" s="991">
        <f>SUM(C118,C262,C297,C433,C472,C312,C346,)</f>
        <v>1251698</v>
      </c>
      <c r="D16" s="991">
        <f aca="true" t="shared" si="7" ref="D16:L16">SUM(D118,D262,D297,D433,D472,D312,D346,)</f>
        <v>736000</v>
      </c>
      <c r="E16" s="991">
        <f t="shared" si="7"/>
        <v>64000</v>
      </c>
      <c r="F16" s="991">
        <f t="shared" si="7"/>
        <v>1923698</v>
      </c>
      <c r="G16" s="991">
        <f t="shared" si="7"/>
        <v>280500</v>
      </c>
      <c r="H16" s="991">
        <f t="shared" si="7"/>
        <v>0</v>
      </c>
      <c r="I16" s="991">
        <f t="shared" si="7"/>
        <v>0</v>
      </c>
      <c r="J16" s="991">
        <f t="shared" si="7"/>
        <v>280500</v>
      </c>
      <c r="K16" s="991">
        <f t="shared" si="7"/>
        <v>1532198</v>
      </c>
      <c r="L16" s="991">
        <f t="shared" si="7"/>
        <v>2204198</v>
      </c>
    </row>
    <row r="17" spans="1:12" ht="33" customHeight="1">
      <c r="A17" s="101">
        <v>721200</v>
      </c>
      <c r="B17" s="113" t="s">
        <v>379</v>
      </c>
      <c r="C17" s="112">
        <f>SUM(C123,C409,)</f>
        <v>1500</v>
      </c>
      <c r="D17" s="112">
        <f aca="true" t="shared" si="8" ref="D17:L17">SUM(D123,D409,)</f>
        <v>3000</v>
      </c>
      <c r="E17" s="112">
        <f t="shared" si="8"/>
        <v>0</v>
      </c>
      <c r="F17" s="112">
        <f t="shared" si="8"/>
        <v>4500</v>
      </c>
      <c r="G17" s="112">
        <f t="shared" si="8"/>
        <v>0</v>
      </c>
      <c r="H17" s="112">
        <f t="shared" si="8"/>
        <v>0</v>
      </c>
      <c r="I17" s="112">
        <f t="shared" si="8"/>
        <v>0</v>
      </c>
      <c r="J17" s="112">
        <f t="shared" si="8"/>
        <v>0</v>
      </c>
      <c r="K17" s="112">
        <f t="shared" si="8"/>
        <v>1500</v>
      </c>
      <c r="L17" s="112">
        <f t="shared" si="8"/>
        <v>4500</v>
      </c>
    </row>
    <row r="18" spans="1:12" ht="33" customHeight="1">
      <c r="A18" s="106">
        <v>722100</v>
      </c>
      <c r="B18" s="107" t="s">
        <v>275</v>
      </c>
      <c r="C18" s="102">
        <f>SUM(C132,)</f>
        <v>680000</v>
      </c>
      <c r="D18" s="102">
        <f aca="true" t="shared" si="9" ref="D18:L18">SUM(D132,)</f>
        <v>0</v>
      </c>
      <c r="E18" s="102">
        <f t="shared" si="9"/>
        <v>143000</v>
      </c>
      <c r="F18" s="102">
        <f t="shared" si="9"/>
        <v>537000</v>
      </c>
      <c r="G18" s="102">
        <f t="shared" si="9"/>
        <v>0</v>
      </c>
      <c r="H18" s="102">
        <f t="shared" si="9"/>
        <v>0</v>
      </c>
      <c r="I18" s="102">
        <f t="shared" si="9"/>
        <v>0</v>
      </c>
      <c r="J18" s="102">
        <f t="shared" si="9"/>
        <v>0</v>
      </c>
      <c r="K18" s="102">
        <f t="shared" si="9"/>
        <v>680000</v>
      </c>
      <c r="L18" s="102">
        <f t="shared" si="9"/>
        <v>537000</v>
      </c>
    </row>
    <row r="19" spans="1:12" ht="33" customHeight="1">
      <c r="A19" s="106">
        <v>722200</v>
      </c>
      <c r="B19" s="1091" t="s">
        <v>1061</v>
      </c>
      <c r="C19" s="102">
        <f>SUM(C135)</f>
        <v>0</v>
      </c>
      <c r="D19" s="102">
        <f aca="true" t="shared" si="10" ref="D19:L19">SUM(D135)</f>
        <v>1000</v>
      </c>
      <c r="E19" s="102">
        <f t="shared" si="10"/>
        <v>0</v>
      </c>
      <c r="F19" s="102">
        <f t="shared" si="10"/>
        <v>1000</v>
      </c>
      <c r="G19" s="102">
        <f t="shared" si="10"/>
        <v>0</v>
      </c>
      <c r="H19" s="102">
        <f t="shared" si="10"/>
        <v>0</v>
      </c>
      <c r="I19" s="102">
        <f t="shared" si="10"/>
        <v>0</v>
      </c>
      <c r="J19" s="102">
        <f t="shared" si="10"/>
        <v>0</v>
      </c>
      <c r="K19" s="102">
        <f t="shared" si="10"/>
        <v>0</v>
      </c>
      <c r="L19" s="102">
        <f t="shared" si="10"/>
        <v>1000</v>
      </c>
    </row>
    <row r="20" spans="1:12" ht="33" customHeight="1">
      <c r="A20" s="105">
        <v>722300</v>
      </c>
      <c r="B20" s="132" t="s">
        <v>276</v>
      </c>
      <c r="C20" s="102">
        <f>SUM(C139,C351,)</f>
        <v>3820000</v>
      </c>
      <c r="D20" s="102">
        <f aca="true" t="shared" si="11" ref="D20:L20">SUM(D139,D351,)</f>
        <v>300000</v>
      </c>
      <c r="E20" s="102">
        <f t="shared" si="11"/>
        <v>263000</v>
      </c>
      <c r="F20" s="102">
        <f t="shared" si="11"/>
        <v>3857000</v>
      </c>
      <c r="G20" s="102">
        <f t="shared" si="11"/>
        <v>0</v>
      </c>
      <c r="H20" s="102">
        <f t="shared" si="11"/>
        <v>0</v>
      </c>
      <c r="I20" s="102">
        <f t="shared" si="11"/>
        <v>0</v>
      </c>
      <c r="J20" s="102">
        <f t="shared" si="11"/>
        <v>0</v>
      </c>
      <c r="K20" s="102">
        <f t="shared" si="11"/>
        <v>3820000</v>
      </c>
      <c r="L20" s="102">
        <f t="shared" si="11"/>
        <v>3857000</v>
      </c>
    </row>
    <row r="21" spans="1:12" ht="33" customHeight="1">
      <c r="A21" s="99">
        <v>722400</v>
      </c>
      <c r="B21" s="100" t="s">
        <v>692</v>
      </c>
      <c r="C21" s="991">
        <f>SUM(C151,C358,,C436,C456,C227,)</f>
        <v>9555000</v>
      </c>
      <c r="D21" s="991">
        <f aca="true" t="shared" si="12" ref="D21:L21">SUM(D151,D358,,D436,D456,D227,)</f>
        <v>1399627.92</v>
      </c>
      <c r="E21" s="991">
        <f t="shared" si="12"/>
        <v>472700</v>
      </c>
      <c r="F21" s="991">
        <f t="shared" si="12"/>
        <v>10481927.92</v>
      </c>
      <c r="G21" s="991">
        <f t="shared" si="12"/>
        <v>75000</v>
      </c>
      <c r="H21" s="991">
        <f t="shared" si="12"/>
        <v>0</v>
      </c>
      <c r="I21" s="991">
        <f t="shared" si="12"/>
        <v>0</v>
      </c>
      <c r="J21" s="991">
        <f t="shared" si="12"/>
        <v>75000</v>
      </c>
      <c r="K21" s="991">
        <f t="shared" si="12"/>
        <v>9630000</v>
      </c>
      <c r="L21" s="991">
        <f t="shared" si="12"/>
        <v>10556927.92</v>
      </c>
    </row>
    <row r="22" spans="1:12" ht="33" customHeight="1">
      <c r="A22" s="103">
        <v>722500</v>
      </c>
      <c r="B22" s="104" t="s">
        <v>751</v>
      </c>
      <c r="C22" s="102">
        <f>SUM(C166,C413,C447,)</f>
        <v>4364477.1</v>
      </c>
      <c r="D22" s="102">
        <f aca="true" t="shared" si="13" ref="D22:L22">SUM(D166,D413,D447,)</f>
        <v>58000</v>
      </c>
      <c r="E22" s="102">
        <f t="shared" si="13"/>
        <v>91000</v>
      </c>
      <c r="F22" s="102">
        <f t="shared" si="13"/>
        <v>4331477.1</v>
      </c>
      <c r="G22" s="102">
        <f t="shared" si="13"/>
        <v>0</v>
      </c>
      <c r="H22" s="102">
        <f t="shared" si="13"/>
        <v>0</v>
      </c>
      <c r="I22" s="102">
        <f t="shared" si="13"/>
        <v>0</v>
      </c>
      <c r="J22" s="102">
        <f t="shared" si="13"/>
        <v>0</v>
      </c>
      <c r="K22" s="102">
        <f t="shared" si="13"/>
        <v>4364477.1</v>
      </c>
      <c r="L22" s="102">
        <f t="shared" si="13"/>
        <v>4331477.1</v>
      </c>
    </row>
    <row r="23" spans="1:12" ht="52.5" customHeight="1">
      <c r="A23" s="101">
        <v>722600</v>
      </c>
      <c r="B23" s="104" t="s">
        <v>414</v>
      </c>
      <c r="C23" s="112">
        <f>SUM(C170,C238,C267,C316,)</f>
        <v>7000</v>
      </c>
      <c r="D23" s="112">
        <f aca="true" t="shared" si="14" ref="D23:L23">SUM(D170,D238,D267,D316,)</f>
        <v>3000</v>
      </c>
      <c r="E23" s="112">
        <f t="shared" si="14"/>
        <v>0</v>
      </c>
      <c r="F23" s="112">
        <f t="shared" si="14"/>
        <v>10000</v>
      </c>
      <c r="G23" s="112">
        <f t="shared" si="14"/>
        <v>2188300</v>
      </c>
      <c r="H23" s="112">
        <f t="shared" si="14"/>
        <v>0</v>
      </c>
      <c r="I23" s="112">
        <f t="shared" si="14"/>
        <v>100000</v>
      </c>
      <c r="J23" s="112">
        <f t="shared" si="14"/>
        <v>2088300</v>
      </c>
      <c r="K23" s="112">
        <f t="shared" si="14"/>
        <v>2195300</v>
      </c>
      <c r="L23" s="112">
        <f t="shared" si="14"/>
        <v>2098300</v>
      </c>
    </row>
    <row r="24" spans="1:12" ht="33" customHeight="1">
      <c r="A24" s="101">
        <v>722700</v>
      </c>
      <c r="B24" s="113" t="s">
        <v>416</v>
      </c>
      <c r="C24" s="102">
        <f>SUM(C178,C241,C271,C319,)</f>
        <v>412000</v>
      </c>
      <c r="D24" s="102">
        <f aca="true" t="shared" si="15" ref="D24:L24">SUM(D178,D241,D271,D319,)</f>
        <v>40000</v>
      </c>
      <c r="E24" s="102">
        <f t="shared" si="15"/>
        <v>10000</v>
      </c>
      <c r="F24" s="102">
        <f t="shared" si="15"/>
        <v>442000</v>
      </c>
      <c r="G24" s="102">
        <f t="shared" si="15"/>
        <v>87000</v>
      </c>
      <c r="H24" s="102">
        <f t="shared" si="15"/>
        <v>0</v>
      </c>
      <c r="I24" s="102">
        <f t="shared" si="15"/>
        <v>0</v>
      </c>
      <c r="J24" s="102">
        <f t="shared" si="15"/>
        <v>87000</v>
      </c>
      <c r="K24" s="102">
        <f t="shared" si="15"/>
        <v>499000</v>
      </c>
      <c r="L24" s="102">
        <f t="shared" si="15"/>
        <v>529000</v>
      </c>
    </row>
    <row r="25" spans="1:12" ht="33" customHeight="1">
      <c r="A25" s="105">
        <v>723100</v>
      </c>
      <c r="B25" s="132" t="s">
        <v>422</v>
      </c>
      <c r="C25" s="102">
        <f>SUM(C183)</f>
        <v>50000</v>
      </c>
      <c r="D25" s="102">
        <f aca="true" t="shared" si="16" ref="D25:L25">SUM(D183)</f>
        <v>0</v>
      </c>
      <c r="E25" s="102">
        <f t="shared" si="16"/>
        <v>20000</v>
      </c>
      <c r="F25" s="102">
        <f t="shared" si="16"/>
        <v>30000</v>
      </c>
      <c r="G25" s="102">
        <f t="shared" si="16"/>
        <v>0</v>
      </c>
      <c r="H25" s="102">
        <f t="shared" si="16"/>
        <v>0</v>
      </c>
      <c r="I25" s="102">
        <f t="shared" si="16"/>
        <v>0</v>
      </c>
      <c r="J25" s="102">
        <f t="shared" si="16"/>
        <v>0</v>
      </c>
      <c r="K25" s="102">
        <f t="shared" si="16"/>
        <v>50000</v>
      </c>
      <c r="L25" s="102">
        <f t="shared" si="16"/>
        <v>30000</v>
      </c>
    </row>
    <row r="26" spans="1:12" ht="33" customHeight="1">
      <c r="A26" s="108"/>
      <c r="B26" s="109" t="s">
        <v>452</v>
      </c>
      <c r="C26" s="1243">
        <f>SUM(C16:C25)</f>
        <v>20141675.1</v>
      </c>
      <c r="D26" s="1243">
        <f>SUM(D16:D25)</f>
        <v>2540627.92</v>
      </c>
      <c r="E26" s="1243">
        <f aca="true" t="shared" si="17" ref="E26:L26">SUM(E16:E25)</f>
        <v>1063700</v>
      </c>
      <c r="F26" s="1243">
        <f t="shared" si="17"/>
        <v>21618603.020000003</v>
      </c>
      <c r="G26" s="1243">
        <f t="shared" si="17"/>
        <v>2630800</v>
      </c>
      <c r="H26" s="1243">
        <f t="shared" si="17"/>
        <v>0</v>
      </c>
      <c r="I26" s="1243">
        <f t="shared" si="17"/>
        <v>100000</v>
      </c>
      <c r="J26" s="1243">
        <f t="shared" si="17"/>
        <v>2530800</v>
      </c>
      <c r="K26" s="1243">
        <f t="shared" si="17"/>
        <v>22772475.1</v>
      </c>
      <c r="L26" s="1243">
        <f t="shared" si="17"/>
        <v>24149403.020000003</v>
      </c>
    </row>
    <row r="27" spans="1:12" ht="33" customHeight="1">
      <c r="A27" s="110">
        <v>730000</v>
      </c>
      <c r="B27" s="116" t="s">
        <v>752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</row>
    <row r="28" spans="1:12" ht="33" customHeight="1">
      <c r="A28" s="865">
        <v>731100</v>
      </c>
      <c r="B28" s="859" t="s">
        <v>979</v>
      </c>
      <c r="C28" s="1244">
        <f>SUM(C194)</f>
        <v>0</v>
      </c>
      <c r="D28" s="1244">
        <f aca="true" t="shared" si="18" ref="D28:L28">SUM(D194)</f>
        <v>0</v>
      </c>
      <c r="E28" s="1244">
        <f t="shared" si="18"/>
        <v>0</v>
      </c>
      <c r="F28" s="1244">
        <f t="shared" si="18"/>
        <v>0</v>
      </c>
      <c r="G28" s="1244">
        <f t="shared" si="18"/>
        <v>57372.79</v>
      </c>
      <c r="H28" s="1244">
        <f t="shared" si="18"/>
        <v>47600</v>
      </c>
      <c r="I28" s="1244">
        <f t="shared" si="18"/>
        <v>0</v>
      </c>
      <c r="J28" s="1244">
        <f t="shared" si="18"/>
        <v>104972.79000000001</v>
      </c>
      <c r="K28" s="1244">
        <f t="shared" si="18"/>
        <v>57372.79</v>
      </c>
      <c r="L28" s="1244">
        <f t="shared" si="18"/>
        <v>104972.79000000001</v>
      </c>
    </row>
    <row r="29" spans="1:12" ht="33" customHeight="1">
      <c r="A29" s="105">
        <v>732100</v>
      </c>
      <c r="B29" s="107" t="s">
        <v>338</v>
      </c>
      <c r="C29" s="102">
        <f>SUM(C198,C275,C302,C363,C420,C327,C247,)</f>
        <v>0</v>
      </c>
      <c r="D29" s="102">
        <f>SUM(D198,D275,D302,D363,D420,D327,D247,)</f>
        <v>0</v>
      </c>
      <c r="E29" s="102"/>
      <c r="F29" s="102">
        <f>C29+D29-E29</f>
        <v>0</v>
      </c>
      <c r="G29" s="102">
        <f>SUM(G198,G275,G302,G363,G420,G327,G247,)</f>
        <v>1165913.31</v>
      </c>
      <c r="H29" s="102"/>
      <c r="I29" s="102"/>
      <c r="J29" s="102">
        <f>G29+H29-I29</f>
        <v>1165913.31</v>
      </c>
      <c r="K29" s="102">
        <f>SUM(K198,K275,K302,K363,K420,K327,K247,)</f>
        <v>1165913.31</v>
      </c>
      <c r="L29" s="102">
        <f>F29+J29</f>
        <v>1165913.31</v>
      </c>
    </row>
    <row r="30" spans="1:12" ht="33" customHeight="1">
      <c r="A30" s="101">
        <v>733100</v>
      </c>
      <c r="B30" s="113" t="s">
        <v>309</v>
      </c>
      <c r="C30" s="112">
        <f>SUM(C202,C250,C330,C278,)</f>
        <v>0</v>
      </c>
      <c r="D30" s="112">
        <f>SUM(D202,D250,D330,D278,)</f>
        <v>0</v>
      </c>
      <c r="E30" s="112">
        <f aca="true" t="shared" si="19" ref="E30:L30">SUM(E202,E250,E330,E278,)</f>
        <v>0</v>
      </c>
      <c r="F30" s="112">
        <f t="shared" si="19"/>
        <v>0</v>
      </c>
      <c r="G30" s="112">
        <f t="shared" si="19"/>
        <v>89547.6</v>
      </c>
      <c r="H30" s="112">
        <f t="shared" si="19"/>
        <v>0</v>
      </c>
      <c r="I30" s="112">
        <f t="shared" si="19"/>
        <v>47600</v>
      </c>
      <c r="J30" s="112">
        <f t="shared" si="19"/>
        <v>41947.6</v>
      </c>
      <c r="K30" s="112">
        <f t="shared" si="19"/>
        <v>89547.6</v>
      </c>
      <c r="L30" s="112">
        <f t="shared" si="19"/>
        <v>41947.6</v>
      </c>
    </row>
    <row r="31" spans="1:12" ht="33" customHeight="1">
      <c r="A31" s="110"/>
      <c r="B31" s="116" t="s">
        <v>756</v>
      </c>
      <c r="C31" s="117">
        <f>SUM(C28:C30)</f>
        <v>0</v>
      </c>
      <c r="D31" s="117">
        <f>SUM(D28:D30)</f>
        <v>0</v>
      </c>
      <c r="E31" s="117">
        <f aca="true" t="shared" si="20" ref="E31:L31">SUM(E28:E30)</f>
        <v>0</v>
      </c>
      <c r="F31" s="117">
        <f t="shared" si="20"/>
        <v>0</v>
      </c>
      <c r="G31" s="117">
        <f t="shared" si="20"/>
        <v>1312833.7000000002</v>
      </c>
      <c r="H31" s="117">
        <f t="shared" si="20"/>
        <v>47600</v>
      </c>
      <c r="I31" s="117">
        <f t="shared" si="20"/>
        <v>47600</v>
      </c>
      <c r="J31" s="117">
        <f t="shared" si="20"/>
        <v>1312833.7000000002</v>
      </c>
      <c r="K31" s="117">
        <f t="shared" si="20"/>
        <v>1312833.7000000002</v>
      </c>
      <c r="L31" s="117">
        <f t="shared" si="20"/>
        <v>1312833.7000000002</v>
      </c>
    </row>
    <row r="32" spans="1:12" ht="33" customHeight="1">
      <c r="A32" s="110">
        <v>740000</v>
      </c>
      <c r="B32" s="116" t="s">
        <v>749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</row>
    <row r="33" spans="1:12" ht="33" customHeight="1">
      <c r="A33" s="99">
        <v>741100</v>
      </c>
      <c r="B33" s="115" t="s">
        <v>753</v>
      </c>
      <c r="C33" s="991">
        <f>SUM(C368,C208,C283,)</f>
        <v>0</v>
      </c>
      <c r="D33" s="991">
        <f>SUM(D368,D208,D283,)</f>
        <v>0</v>
      </c>
      <c r="E33" s="991"/>
      <c r="F33" s="991">
        <f>C33+D33-E33</f>
        <v>0</v>
      </c>
      <c r="G33" s="991">
        <f>SUM(G368,G208,G283,)</f>
        <v>567243.7</v>
      </c>
      <c r="H33" s="991"/>
      <c r="I33" s="991"/>
      <c r="J33" s="991">
        <f>G33+H33-I33</f>
        <v>567243.7</v>
      </c>
      <c r="K33" s="991">
        <f>SUM(K368,K208,K283,)</f>
        <v>567243.7</v>
      </c>
      <c r="L33" s="991">
        <f>F33+J33</f>
        <v>567243.7</v>
      </c>
    </row>
    <row r="34" spans="1:12" ht="37.5" customHeight="1">
      <c r="A34" s="101">
        <v>742100</v>
      </c>
      <c r="B34" s="104" t="s">
        <v>754</v>
      </c>
      <c r="C34" s="102">
        <f>SUM(C373,C425,C212,C336,C286,C461,)</f>
        <v>0</v>
      </c>
      <c r="D34" s="102">
        <f aca="true" t="shared" si="21" ref="D34:L34">SUM(D373,D425,D212,D336,D286,D461,)</f>
        <v>0</v>
      </c>
      <c r="E34" s="102">
        <f t="shared" si="21"/>
        <v>0</v>
      </c>
      <c r="F34" s="102">
        <f t="shared" si="21"/>
        <v>0</v>
      </c>
      <c r="G34" s="102">
        <f t="shared" si="21"/>
        <v>3686555.9</v>
      </c>
      <c r="H34" s="102">
        <f t="shared" si="21"/>
        <v>11059.2</v>
      </c>
      <c r="I34" s="102">
        <f t="shared" si="21"/>
        <v>1007850</v>
      </c>
      <c r="J34" s="102">
        <f t="shared" si="21"/>
        <v>2689765.1</v>
      </c>
      <c r="K34" s="102">
        <f t="shared" si="21"/>
        <v>3686555.9</v>
      </c>
      <c r="L34" s="102">
        <f t="shared" si="21"/>
        <v>2689765.1</v>
      </c>
    </row>
    <row r="35" spans="1:12" ht="36" customHeight="1">
      <c r="A35" s="101">
        <v>742200</v>
      </c>
      <c r="B35" s="104" t="s">
        <v>755</v>
      </c>
      <c r="C35" s="112">
        <f>SUM(C376,C215,)</f>
        <v>0</v>
      </c>
      <c r="D35" s="112">
        <f>SUM(D376,D215,)</f>
        <v>0</v>
      </c>
      <c r="E35" s="112"/>
      <c r="F35" s="991">
        <f>C35+D35-E35</f>
        <v>0</v>
      </c>
      <c r="G35" s="112">
        <f>SUM(G376,G215,)</f>
        <v>233750.93</v>
      </c>
      <c r="H35" s="112"/>
      <c r="I35" s="112"/>
      <c r="J35" s="991">
        <f>G35+H35-I35</f>
        <v>233750.93</v>
      </c>
      <c r="K35" s="112">
        <f>SUM(K376,K215,)</f>
        <v>233750.93</v>
      </c>
      <c r="L35" s="991">
        <f>F35+J35</f>
        <v>233750.93</v>
      </c>
    </row>
    <row r="36" spans="1:12" ht="36" customHeight="1">
      <c r="A36" s="118"/>
      <c r="B36" s="109" t="s">
        <v>86</v>
      </c>
      <c r="C36" s="1243">
        <f>SUM(C33:C35)</f>
        <v>0</v>
      </c>
      <c r="D36" s="1243">
        <f>SUM(D33:D35)</f>
        <v>0</v>
      </c>
      <c r="E36" s="1243">
        <f aca="true" t="shared" si="22" ref="E36:L36">SUM(E33:E35)</f>
        <v>0</v>
      </c>
      <c r="F36" s="1243">
        <f t="shared" si="22"/>
        <v>0</v>
      </c>
      <c r="G36" s="1243">
        <f t="shared" si="22"/>
        <v>4487550.529999999</v>
      </c>
      <c r="H36" s="1243">
        <f t="shared" si="22"/>
        <v>11059.2</v>
      </c>
      <c r="I36" s="1243">
        <f t="shared" si="22"/>
        <v>1007850</v>
      </c>
      <c r="J36" s="1243">
        <f t="shared" si="22"/>
        <v>3490759.73</v>
      </c>
      <c r="K36" s="1243">
        <f t="shared" si="22"/>
        <v>4487550.529999999</v>
      </c>
      <c r="L36" s="1243">
        <f t="shared" si="22"/>
        <v>3490759.73</v>
      </c>
    </row>
    <row r="37" spans="1:17" ht="40.5" customHeight="1">
      <c r="A37" s="118"/>
      <c r="B37" s="119" t="s">
        <v>825</v>
      </c>
      <c r="C37" s="1243">
        <f>SUM(C14+C26+C31+C36)</f>
        <v>51671790.1</v>
      </c>
      <c r="D37" s="1243">
        <f>SUM(D14+D26+D31+D36)</f>
        <v>2758627.92</v>
      </c>
      <c r="E37" s="1243">
        <f aca="true" t="shared" si="23" ref="E37:L37">SUM(E14+E26+E31+E36)</f>
        <v>7103405.75</v>
      </c>
      <c r="F37" s="1243">
        <f t="shared" si="23"/>
        <v>47327012.27</v>
      </c>
      <c r="G37" s="1243">
        <f t="shared" si="23"/>
        <v>8431184.23</v>
      </c>
      <c r="H37" s="1243">
        <f t="shared" si="23"/>
        <v>58659.2</v>
      </c>
      <c r="I37" s="1243">
        <f t="shared" si="23"/>
        <v>1155450</v>
      </c>
      <c r="J37" s="1243">
        <f t="shared" si="23"/>
        <v>7334393.43</v>
      </c>
      <c r="K37" s="1243">
        <f t="shared" si="23"/>
        <v>60102974.330000006</v>
      </c>
      <c r="L37" s="1243">
        <f t="shared" si="23"/>
        <v>54661405.7</v>
      </c>
      <c r="M37" s="120"/>
      <c r="N37" s="120"/>
      <c r="O37" s="120"/>
      <c r="P37" s="120"/>
      <c r="Q37" s="120"/>
    </row>
    <row r="38" spans="1:12" ht="37.5" customHeight="1">
      <c r="A38" s="97">
        <v>810000</v>
      </c>
      <c r="B38" s="1148" t="s">
        <v>757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1:12" ht="37.5" customHeight="1">
      <c r="A39" s="121">
        <v>811100</v>
      </c>
      <c r="B39" s="122" t="s">
        <v>844</v>
      </c>
      <c r="C39" s="991">
        <f>SUM(C383,)</f>
        <v>2550000</v>
      </c>
      <c r="D39" s="991">
        <f>SUM(D383,)</f>
        <v>600000</v>
      </c>
      <c r="E39" s="991"/>
      <c r="F39" s="991">
        <f>C39+D39-E39</f>
        <v>3150000</v>
      </c>
      <c r="G39" s="991">
        <f>SUM(G383,)</f>
        <v>0</v>
      </c>
      <c r="H39" s="991"/>
      <c r="I39" s="991"/>
      <c r="J39" s="991">
        <f>G39+H39-I39</f>
        <v>0</v>
      </c>
      <c r="K39" s="991">
        <f>SUM(K383,)</f>
        <v>2550000</v>
      </c>
      <c r="L39" s="991">
        <f>F39+J39</f>
        <v>3150000</v>
      </c>
    </row>
    <row r="40" spans="1:12" ht="37.5" customHeight="1">
      <c r="A40" s="105">
        <v>814300</v>
      </c>
      <c r="B40" s="1091" t="s">
        <v>1088</v>
      </c>
      <c r="C40" s="1245">
        <f>SUM(C386)</f>
        <v>7000000</v>
      </c>
      <c r="D40" s="1245">
        <f>SUM(D386)</f>
        <v>0</v>
      </c>
      <c r="E40" s="1245"/>
      <c r="F40" s="991">
        <f>C40+D40-E40</f>
        <v>7000000</v>
      </c>
      <c r="G40" s="1245">
        <f>SUM(G386)</f>
        <v>0</v>
      </c>
      <c r="H40" s="1245"/>
      <c r="I40" s="1245"/>
      <c r="J40" s="991">
        <f>G40+H40-I40</f>
        <v>0</v>
      </c>
      <c r="K40" s="1245">
        <f>SUM(K386)</f>
        <v>7000000</v>
      </c>
      <c r="L40" s="991">
        <f>F40+J40</f>
        <v>7000000</v>
      </c>
    </row>
    <row r="41" spans="1:12" ht="33" customHeight="1">
      <c r="A41" s="97"/>
      <c r="B41" s="1148" t="s">
        <v>758</v>
      </c>
      <c r="C41" s="117">
        <f>SUM(C39,C40,)</f>
        <v>9550000</v>
      </c>
      <c r="D41" s="117">
        <f>SUM(D39,D40,)</f>
        <v>600000</v>
      </c>
      <c r="E41" s="117">
        <f aca="true" t="shared" si="24" ref="E41:L41">SUM(E39,E40,)</f>
        <v>0</v>
      </c>
      <c r="F41" s="117">
        <f t="shared" si="24"/>
        <v>10150000</v>
      </c>
      <c r="G41" s="117">
        <f t="shared" si="24"/>
        <v>0</v>
      </c>
      <c r="H41" s="117">
        <f t="shared" si="24"/>
        <v>0</v>
      </c>
      <c r="I41" s="117">
        <f t="shared" si="24"/>
        <v>0</v>
      </c>
      <c r="J41" s="117">
        <f t="shared" si="24"/>
        <v>0</v>
      </c>
      <c r="K41" s="117">
        <f t="shared" si="24"/>
        <v>9550000</v>
      </c>
      <c r="L41" s="117">
        <f t="shared" si="24"/>
        <v>10150000</v>
      </c>
    </row>
    <row r="42" spans="1:12" ht="43.5" customHeight="1" thickBot="1">
      <c r="A42" s="123"/>
      <c r="B42" s="124" t="s">
        <v>824</v>
      </c>
      <c r="C42" s="1246">
        <f>SUM(C37+C41)</f>
        <v>61221790.1</v>
      </c>
      <c r="D42" s="1246">
        <f aca="true" t="shared" si="25" ref="D42:L42">SUM(D37+D41)</f>
        <v>3358627.92</v>
      </c>
      <c r="E42" s="1246">
        <f t="shared" si="25"/>
        <v>7103405.75</v>
      </c>
      <c r="F42" s="1246">
        <f t="shared" si="25"/>
        <v>57477012.27</v>
      </c>
      <c r="G42" s="1246">
        <f t="shared" si="25"/>
        <v>8431184.23</v>
      </c>
      <c r="H42" s="1246">
        <f t="shared" si="25"/>
        <v>58659.2</v>
      </c>
      <c r="I42" s="1246">
        <f t="shared" si="25"/>
        <v>1155450</v>
      </c>
      <c r="J42" s="1246">
        <f t="shared" si="25"/>
        <v>7334393.43</v>
      </c>
      <c r="K42" s="1246">
        <f t="shared" si="25"/>
        <v>69652974.33000001</v>
      </c>
      <c r="L42" s="1246">
        <f t="shared" si="25"/>
        <v>64811405.7</v>
      </c>
    </row>
    <row r="43" spans="1:12" ht="25.5" customHeight="1">
      <c r="A43" s="125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</row>
    <row r="44" spans="1:12" ht="27" customHeight="1">
      <c r="A44" s="125"/>
      <c r="B44" s="1527" t="s">
        <v>405</v>
      </c>
      <c r="C44" s="1527"/>
      <c r="D44" s="1527"/>
      <c r="E44" s="1527"/>
      <c r="F44" s="1527"/>
      <c r="G44" s="1527"/>
      <c r="H44" s="1527"/>
      <c r="I44" s="1527"/>
      <c r="J44" s="1527"/>
      <c r="K44" s="1527"/>
      <c r="L44" s="992"/>
    </row>
    <row r="45" spans="1:12" ht="13.5" customHeight="1">
      <c r="A45" s="125"/>
      <c r="B45" s="1527"/>
      <c r="C45" s="1527"/>
      <c r="D45" s="1527"/>
      <c r="E45" s="1527"/>
      <c r="F45" s="1527"/>
      <c r="G45" s="1527"/>
      <c r="H45" s="1527"/>
      <c r="I45" s="1527"/>
      <c r="J45" s="1527"/>
      <c r="K45" s="1527"/>
      <c r="L45" s="993"/>
    </row>
    <row r="46" spans="1:12" ht="27" customHeight="1">
      <c r="A46" s="1530" t="s">
        <v>1038</v>
      </c>
      <c r="B46" s="1530"/>
      <c r="C46" s="948"/>
      <c r="D46" s="948"/>
      <c r="E46" s="948"/>
      <c r="F46" s="948"/>
      <c r="G46" s="948"/>
      <c r="H46" s="948"/>
      <c r="I46" s="948"/>
      <c r="J46" s="948"/>
      <c r="K46" s="948"/>
      <c r="L46" s="993"/>
    </row>
    <row r="47" spans="1:12" ht="20.25">
      <c r="A47" s="125"/>
      <c r="B47" s="127"/>
      <c r="C47" s="126"/>
      <c r="D47" s="126"/>
      <c r="E47" s="126"/>
      <c r="F47" s="126"/>
      <c r="G47" s="126"/>
      <c r="H47" s="126"/>
      <c r="I47" s="126"/>
      <c r="J47" s="126"/>
      <c r="K47" s="126"/>
      <c r="L47" s="126"/>
    </row>
    <row r="48" spans="1:12" ht="27.75">
      <c r="A48" s="128"/>
      <c r="B48" s="129" t="s">
        <v>341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</row>
    <row r="49" spans="1:12" ht="15.75" thickBot="1">
      <c r="A49" s="125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</row>
    <row r="50" spans="1:12" s="90" customFormat="1" ht="265.5" customHeight="1">
      <c r="A50" s="92" t="s">
        <v>323</v>
      </c>
      <c r="B50" s="93" t="s">
        <v>342</v>
      </c>
      <c r="C50" s="813" t="s">
        <v>1124</v>
      </c>
      <c r="D50" s="813" t="s">
        <v>1332</v>
      </c>
      <c r="E50" s="813" t="s">
        <v>1333</v>
      </c>
      <c r="F50" s="813" t="s">
        <v>1334</v>
      </c>
      <c r="G50" s="813" t="s">
        <v>1184</v>
      </c>
      <c r="H50" s="813" t="s">
        <v>1335</v>
      </c>
      <c r="I50" s="813" t="s">
        <v>1336</v>
      </c>
      <c r="J50" s="813" t="s">
        <v>1337</v>
      </c>
      <c r="K50" s="813" t="s">
        <v>1125</v>
      </c>
      <c r="L50" s="813" t="s">
        <v>1331</v>
      </c>
    </row>
    <row r="51" spans="1:12" ht="20.25" customHeight="1">
      <c r="A51" s="94">
        <v>0</v>
      </c>
      <c r="B51" s="95">
        <v>1</v>
      </c>
      <c r="C51" s="1241">
        <v>2</v>
      </c>
      <c r="D51" s="1241">
        <v>3</v>
      </c>
      <c r="E51" s="1241">
        <v>4</v>
      </c>
      <c r="F51" s="1241">
        <v>5</v>
      </c>
      <c r="G51" s="1241">
        <v>6</v>
      </c>
      <c r="H51" s="1241">
        <v>7</v>
      </c>
      <c r="I51" s="1241">
        <v>8</v>
      </c>
      <c r="J51" s="1241">
        <v>9</v>
      </c>
      <c r="K51" s="1241">
        <v>10</v>
      </c>
      <c r="L51" s="990">
        <v>11</v>
      </c>
    </row>
    <row r="52" spans="1:12" s="90" customFormat="1" ht="32.25" customHeight="1">
      <c r="A52" s="130"/>
      <c r="B52" s="131" t="s">
        <v>1067</v>
      </c>
      <c r="C52" s="1247"/>
      <c r="D52" s="1247"/>
      <c r="E52" s="1247"/>
      <c r="F52" s="1247"/>
      <c r="G52" s="1247"/>
      <c r="H52" s="1247"/>
      <c r="I52" s="1247"/>
      <c r="J52" s="1247"/>
      <c r="K52" s="1247"/>
      <c r="L52" s="994"/>
    </row>
    <row r="53" spans="1:12" ht="23.25">
      <c r="A53" s="96"/>
      <c r="B53" s="100"/>
      <c r="C53" s="1242"/>
      <c r="D53" s="1242"/>
      <c r="E53" s="1242"/>
      <c r="F53" s="1242"/>
      <c r="G53" s="1242"/>
      <c r="H53" s="1242"/>
      <c r="I53" s="1242"/>
      <c r="J53" s="1242"/>
      <c r="K53" s="1242"/>
      <c r="L53" s="867"/>
    </row>
    <row r="54" spans="1:12" s="90" customFormat="1" ht="23.25">
      <c r="A54" s="97">
        <v>710000</v>
      </c>
      <c r="B54" s="166" t="s">
        <v>343</v>
      </c>
      <c r="C54" s="1242"/>
      <c r="D54" s="1242"/>
      <c r="E54" s="1242"/>
      <c r="F54" s="1242"/>
      <c r="G54" s="1242"/>
      <c r="H54" s="1242"/>
      <c r="I54" s="1242"/>
      <c r="J54" s="1242"/>
      <c r="K54" s="1242"/>
      <c r="L54" s="867"/>
    </row>
    <row r="55" spans="1:12" ht="23.25">
      <c r="A55" s="97"/>
      <c r="B55" s="166"/>
      <c r="C55" s="1242"/>
      <c r="D55" s="1242"/>
      <c r="E55" s="1242"/>
      <c r="F55" s="1242"/>
      <c r="G55" s="1242"/>
      <c r="H55" s="1242"/>
      <c r="I55" s="1242"/>
      <c r="J55" s="1242"/>
      <c r="K55" s="1242"/>
      <c r="L55" s="867"/>
    </row>
    <row r="56" spans="1:12" ht="27.75" customHeight="1">
      <c r="A56" s="97">
        <v>711100</v>
      </c>
      <c r="B56" s="98" t="s">
        <v>157</v>
      </c>
      <c r="C56" s="1242"/>
      <c r="D56" s="1242"/>
      <c r="E56" s="1242"/>
      <c r="F56" s="1242"/>
      <c r="G56" s="1242"/>
      <c r="H56" s="1242"/>
      <c r="I56" s="1242"/>
      <c r="J56" s="1242"/>
      <c r="K56" s="1242"/>
      <c r="L56" s="867"/>
    </row>
    <row r="57" spans="1:12" ht="23.25">
      <c r="A57" s="114"/>
      <c r="B57" s="100"/>
      <c r="C57" s="1242"/>
      <c r="D57" s="1242"/>
      <c r="E57" s="1242"/>
      <c r="F57" s="1242"/>
      <c r="G57" s="1242"/>
      <c r="H57" s="1242"/>
      <c r="I57" s="1242"/>
      <c r="J57" s="1242"/>
      <c r="K57" s="1242"/>
      <c r="L57" s="867"/>
    </row>
    <row r="58" spans="1:12" ht="21.75" customHeight="1">
      <c r="A58" s="121">
        <v>711111</v>
      </c>
      <c r="B58" s="150" t="s">
        <v>305</v>
      </c>
      <c r="C58" s="1248">
        <v>1000</v>
      </c>
      <c r="D58" s="1248"/>
      <c r="E58" s="1248"/>
      <c r="F58" s="991">
        <f>C58+D58-E58</f>
        <v>1000</v>
      </c>
      <c r="G58" s="1248">
        <v>0</v>
      </c>
      <c r="H58" s="1248"/>
      <c r="I58" s="1248"/>
      <c r="J58" s="991">
        <f>G58+H58-I58</f>
        <v>0</v>
      </c>
      <c r="K58" s="1248">
        <f>C58+G58</f>
        <v>1000</v>
      </c>
      <c r="L58" s="991">
        <f>F58+J58</f>
        <v>1000</v>
      </c>
    </row>
    <row r="59" spans="1:12" ht="30" customHeight="1">
      <c r="A59" s="121">
        <v>711112</v>
      </c>
      <c r="B59" s="1060" t="s">
        <v>1059</v>
      </c>
      <c r="C59" s="1248">
        <v>1000</v>
      </c>
      <c r="D59" s="1248"/>
      <c r="E59" s="1248"/>
      <c r="F59" s="991">
        <f>C59+D59-E59</f>
        <v>1000</v>
      </c>
      <c r="G59" s="1248">
        <v>0</v>
      </c>
      <c r="H59" s="1248"/>
      <c r="I59" s="1248"/>
      <c r="J59" s="991">
        <f>G59+H59-I59</f>
        <v>0</v>
      </c>
      <c r="K59" s="1249">
        <f>C59+G59</f>
        <v>1000</v>
      </c>
      <c r="L59" s="991">
        <f>F59+J59</f>
        <v>1000</v>
      </c>
    </row>
    <row r="60" spans="1:12" s="135" customFormat="1" ht="32.25" customHeight="1">
      <c r="A60" s="133">
        <v>711113</v>
      </c>
      <c r="B60" s="134" t="s">
        <v>713</v>
      </c>
      <c r="C60" s="1249">
        <v>1000</v>
      </c>
      <c r="D60" s="1249"/>
      <c r="E60" s="1249"/>
      <c r="F60" s="991">
        <f>C60+D60-E60</f>
        <v>1000</v>
      </c>
      <c r="G60" s="1249">
        <v>0</v>
      </c>
      <c r="H60" s="1249"/>
      <c r="I60" s="1249"/>
      <c r="J60" s="991">
        <f>G60+H60-I60</f>
        <v>0</v>
      </c>
      <c r="K60" s="1249">
        <f>C60+G60</f>
        <v>1000</v>
      </c>
      <c r="L60" s="991">
        <f>F60+J60</f>
        <v>1000</v>
      </c>
    </row>
    <row r="61" spans="1:12" s="135" customFormat="1" ht="32.25" customHeight="1">
      <c r="A61" s="133">
        <v>711114</v>
      </c>
      <c r="B61" s="950" t="s">
        <v>939</v>
      </c>
      <c r="C61" s="1249">
        <v>1000</v>
      </c>
      <c r="D61" s="1249"/>
      <c r="E61" s="1249"/>
      <c r="F61" s="991">
        <f>C61+D61-E61</f>
        <v>1000</v>
      </c>
      <c r="G61" s="1249">
        <v>0</v>
      </c>
      <c r="H61" s="1249"/>
      <c r="I61" s="1249"/>
      <c r="J61" s="991">
        <f>G61+H61-I61</f>
        <v>0</v>
      </c>
      <c r="K61" s="1249">
        <f>C61+G61</f>
        <v>1000</v>
      </c>
      <c r="L61" s="991">
        <f>F61+J61</f>
        <v>1000</v>
      </c>
    </row>
    <row r="62" spans="1:12" ht="27.75" customHeight="1">
      <c r="A62" s="105">
        <v>711115</v>
      </c>
      <c r="B62" s="132" t="s">
        <v>344</v>
      </c>
      <c r="C62" s="1248">
        <v>1000</v>
      </c>
      <c r="D62" s="1248"/>
      <c r="E62" s="1248"/>
      <c r="F62" s="991">
        <f>C62+D62-E62</f>
        <v>1000</v>
      </c>
      <c r="G62" s="1248">
        <v>0</v>
      </c>
      <c r="H62" s="1248"/>
      <c r="I62" s="1248"/>
      <c r="J62" s="991">
        <f>G62+H62-I62</f>
        <v>0</v>
      </c>
      <c r="K62" s="1248">
        <f>C62+G62</f>
        <v>1000</v>
      </c>
      <c r="L62" s="991">
        <f>F62+J62</f>
        <v>1000</v>
      </c>
    </row>
    <row r="63" spans="1:12" s="138" customFormat="1" ht="33.75" customHeight="1">
      <c r="A63" s="136"/>
      <c r="B63" s="137" t="s">
        <v>345</v>
      </c>
      <c r="C63" s="1243">
        <f>SUM(C58:C62)</f>
        <v>5000</v>
      </c>
      <c r="D63" s="1243">
        <f aca="true" t="shared" si="26" ref="D63:L63">SUM(D58:D62)</f>
        <v>0</v>
      </c>
      <c r="E63" s="1243">
        <f t="shared" si="26"/>
        <v>0</v>
      </c>
      <c r="F63" s="1243">
        <f t="shared" si="26"/>
        <v>5000</v>
      </c>
      <c r="G63" s="1243">
        <f t="shared" si="26"/>
        <v>0</v>
      </c>
      <c r="H63" s="1243">
        <f t="shared" si="26"/>
        <v>0</v>
      </c>
      <c r="I63" s="1243">
        <f t="shared" si="26"/>
        <v>0</v>
      </c>
      <c r="J63" s="1243">
        <f t="shared" si="26"/>
        <v>0</v>
      </c>
      <c r="K63" s="1243">
        <f t="shared" si="26"/>
        <v>5000</v>
      </c>
      <c r="L63" s="1243">
        <f t="shared" si="26"/>
        <v>5000</v>
      </c>
    </row>
    <row r="64" spans="1:12" ht="35.25" customHeight="1">
      <c r="A64" s="110">
        <v>713100</v>
      </c>
      <c r="B64" s="116" t="s">
        <v>158</v>
      </c>
      <c r="C64" s="1247"/>
      <c r="D64" s="1247"/>
      <c r="E64" s="1247"/>
      <c r="F64" s="1247"/>
      <c r="G64" s="1247"/>
      <c r="H64" s="1247"/>
      <c r="I64" s="1247"/>
      <c r="J64" s="1247"/>
      <c r="K64" s="1247"/>
      <c r="L64" s="995"/>
    </row>
    <row r="65" spans="1:12" ht="15" customHeight="1" hidden="1">
      <c r="A65" s="114"/>
      <c r="B65" s="100"/>
      <c r="C65" s="1250"/>
      <c r="D65" s="1250"/>
      <c r="E65" s="1250"/>
      <c r="F65" s="1250"/>
      <c r="G65" s="1250"/>
      <c r="H65" s="1250"/>
      <c r="I65" s="1250"/>
      <c r="J65" s="1250"/>
      <c r="K65" s="1250"/>
      <c r="L65" s="863"/>
    </row>
    <row r="66" spans="1:12" ht="34.5" customHeight="1">
      <c r="A66" s="121">
        <v>713111</v>
      </c>
      <c r="B66" s="150" t="s">
        <v>334</v>
      </c>
      <c r="C66" s="1248">
        <v>7000</v>
      </c>
      <c r="D66" s="1248"/>
      <c r="E66" s="1248"/>
      <c r="F66" s="991">
        <f>C66+D66-E66</f>
        <v>7000</v>
      </c>
      <c r="G66" s="1248">
        <v>0</v>
      </c>
      <c r="H66" s="1248"/>
      <c r="I66" s="1248"/>
      <c r="J66" s="991">
        <f>G66+H66-I66</f>
        <v>0</v>
      </c>
      <c r="K66" s="1248">
        <f>C66+G66</f>
        <v>7000</v>
      </c>
      <c r="L66" s="991">
        <f>F66+J66</f>
        <v>7000</v>
      </c>
    </row>
    <row r="67" spans="1:12" ht="27.75" customHeight="1">
      <c r="A67" s="105">
        <v>713113</v>
      </c>
      <c r="B67" s="132" t="s">
        <v>346</v>
      </c>
      <c r="C67" s="1248">
        <v>13000</v>
      </c>
      <c r="D67" s="1248"/>
      <c r="E67" s="1248"/>
      <c r="F67" s="991">
        <f>C67+D67-E67</f>
        <v>13000</v>
      </c>
      <c r="G67" s="1248">
        <v>0</v>
      </c>
      <c r="H67" s="1248"/>
      <c r="I67" s="1248"/>
      <c r="J67" s="991">
        <f>G67+H67-I67</f>
        <v>0</v>
      </c>
      <c r="K67" s="1248">
        <f>C67+G67</f>
        <v>13000</v>
      </c>
      <c r="L67" s="991">
        <f>F67+J67</f>
        <v>13000</v>
      </c>
    </row>
    <row r="68" spans="1:12" s="138" customFormat="1" ht="33.75" customHeight="1">
      <c r="A68" s="136"/>
      <c r="B68" s="137" t="s">
        <v>347</v>
      </c>
      <c r="C68" s="1243">
        <f>SUM(C66:C67)</f>
        <v>20000</v>
      </c>
      <c r="D68" s="1243">
        <f aca="true" t="shared" si="27" ref="D68:L68">SUM(D66:D67)</f>
        <v>0</v>
      </c>
      <c r="E68" s="1243">
        <f t="shared" si="27"/>
        <v>0</v>
      </c>
      <c r="F68" s="1243">
        <f t="shared" si="27"/>
        <v>20000</v>
      </c>
      <c r="G68" s="1243">
        <f t="shared" si="27"/>
        <v>0</v>
      </c>
      <c r="H68" s="1243">
        <f t="shared" si="27"/>
        <v>0</v>
      </c>
      <c r="I68" s="1243">
        <f t="shared" si="27"/>
        <v>0</v>
      </c>
      <c r="J68" s="1243">
        <f t="shared" si="27"/>
        <v>0</v>
      </c>
      <c r="K68" s="1243">
        <f t="shared" si="27"/>
        <v>20000</v>
      </c>
      <c r="L68" s="1243">
        <f t="shared" si="27"/>
        <v>20000</v>
      </c>
    </row>
    <row r="69" spans="1:12" ht="34.5" customHeight="1">
      <c r="A69" s="110">
        <v>714100</v>
      </c>
      <c r="B69" s="116" t="s">
        <v>348</v>
      </c>
      <c r="C69" s="1247"/>
      <c r="D69" s="1247"/>
      <c r="E69" s="1247"/>
      <c r="F69" s="1247"/>
      <c r="G69" s="1247"/>
      <c r="H69" s="1247"/>
      <c r="I69" s="1247"/>
      <c r="J69" s="1247"/>
      <c r="K69" s="1247"/>
      <c r="L69" s="995"/>
    </row>
    <row r="70" spans="1:12" ht="10.5" customHeight="1" hidden="1">
      <c r="A70" s="114"/>
      <c r="B70" s="100"/>
      <c r="C70" s="1242"/>
      <c r="D70" s="1242"/>
      <c r="E70" s="1242"/>
      <c r="F70" s="1242"/>
      <c r="G70" s="1242"/>
      <c r="H70" s="1242"/>
      <c r="I70" s="1242"/>
      <c r="J70" s="1242"/>
      <c r="K70" s="1242"/>
      <c r="L70" s="863"/>
    </row>
    <row r="71" spans="1:12" ht="33.75" customHeight="1">
      <c r="A71" s="121">
        <v>714111</v>
      </c>
      <c r="B71" s="150" t="s">
        <v>324</v>
      </c>
      <c r="C71" s="1248">
        <v>250000</v>
      </c>
      <c r="D71" s="1248"/>
      <c r="E71" s="1248"/>
      <c r="F71" s="991">
        <f aca="true" t="shared" si="28" ref="F71:F76">C71+D71-E71</f>
        <v>250000</v>
      </c>
      <c r="G71" s="1248">
        <v>0</v>
      </c>
      <c r="H71" s="1248"/>
      <c r="I71" s="1248"/>
      <c r="J71" s="991">
        <f aca="true" t="shared" si="29" ref="J71:J76">G71+H71-I71</f>
        <v>0</v>
      </c>
      <c r="K71" s="1248">
        <f aca="true" t="shared" si="30" ref="K71:K76">C71+G71</f>
        <v>250000</v>
      </c>
      <c r="L71" s="991">
        <f aca="true" t="shared" si="31" ref="L71:L76">F71+J71</f>
        <v>250000</v>
      </c>
    </row>
    <row r="72" spans="1:12" ht="27" customHeight="1">
      <c r="A72" s="121">
        <v>714112</v>
      </c>
      <c r="B72" s="150" t="s">
        <v>329</v>
      </c>
      <c r="C72" s="1248">
        <v>350000</v>
      </c>
      <c r="D72" s="1248"/>
      <c r="E72" s="1248"/>
      <c r="F72" s="991">
        <f t="shared" si="28"/>
        <v>350000</v>
      </c>
      <c r="G72" s="1248">
        <v>0</v>
      </c>
      <c r="H72" s="1248"/>
      <c r="I72" s="1248"/>
      <c r="J72" s="991">
        <f t="shared" si="29"/>
        <v>0</v>
      </c>
      <c r="K72" s="1248">
        <f t="shared" si="30"/>
        <v>350000</v>
      </c>
      <c r="L72" s="991">
        <f t="shared" si="31"/>
        <v>350000</v>
      </c>
    </row>
    <row r="73" spans="1:12" ht="27" customHeight="1">
      <c r="A73" s="121">
        <v>714113</v>
      </c>
      <c r="B73" s="150" t="s">
        <v>657</v>
      </c>
      <c r="C73" s="1248">
        <v>860000</v>
      </c>
      <c r="D73" s="1248"/>
      <c r="E73" s="1248"/>
      <c r="F73" s="991">
        <f t="shared" si="28"/>
        <v>860000</v>
      </c>
      <c r="G73" s="1248">
        <v>0</v>
      </c>
      <c r="H73" s="1248"/>
      <c r="I73" s="1248"/>
      <c r="J73" s="991">
        <f t="shared" si="29"/>
        <v>0</v>
      </c>
      <c r="K73" s="1248">
        <f t="shared" si="30"/>
        <v>860000</v>
      </c>
      <c r="L73" s="991">
        <f t="shared" si="31"/>
        <v>860000</v>
      </c>
    </row>
    <row r="74" spans="1:12" ht="27.75" customHeight="1">
      <c r="A74" s="105">
        <v>714121</v>
      </c>
      <c r="B74" s="132" t="s">
        <v>349</v>
      </c>
      <c r="C74" s="1248">
        <v>130000</v>
      </c>
      <c r="D74" s="1248"/>
      <c r="E74" s="1248"/>
      <c r="F74" s="991">
        <f t="shared" si="28"/>
        <v>130000</v>
      </c>
      <c r="G74" s="1248">
        <v>0</v>
      </c>
      <c r="H74" s="1248"/>
      <c r="I74" s="1248"/>
      <c r="J74" s="991">
        <f t="shared" si="29"/>
        <v>0</v>
      </c>
      <c r="K74" s="1248">
        <f t="shared" si="30"/>
        <v>130000</v>
      </c>
      <c r="L74" s="991">
        <f t="shared" si="31"/>
        <v>130000</v>
      </c>
    </row>
    <row r="75" spans="1:12" ht="27.75" customHeight="1">
      <c r="A75" s="1391">
        <v>714131</v>
      </c>
      <c r="B75" s="1392" t="s">
        <v>325</v>
      </c>
      <c r="C75" s="1332">
        <v>2100000</v>
      </c>
      <c r="D75" s="1332">
        <v>218000</v>
      </c>
      <c r="E75" s="1332"/>
      <c r="F75" s="1333">
        <f t="shared" si="28"/>
        <v>2318000</v>
      </c>
      <c r="G75" s="1332">
        <v>0</v>
      </c>
      <c r="H75" s="1332"/>
      <c r="I75" s="1332"/>
      <c r="J75" s="1333">
        <f t="shared" si="29"/>
        <v>0</v>
      </c>
      <c r="K75" s="1332">
        <f t="shared" si="30"/>
        <v>2100000</v>
      </c>
      <c r="L75" s="1333">
        <f t="shared" si="31"/>
        <v>2318000</v>
      </c>
    </row>
    <row r="76" spans="1:12" ht="27.75" customHeight="1">
      <c r="A76" s="1393">
        <v>714132</v>
      </c>
      <c r="B76" s="1394" t="s">
        <v>331</v>
      </c>
      <c r="C76" s="1332">
        <v>3000000</v>
      </c>
      <c r="D76" s="1332"/>
      <c r="E76" s="1332">
        <v>682861.75</v>
      </c>
      <c r="F76" s="1333">
        <f t="shared" si="28"/>
        <v>2317138.25</v>
      </c>
      <c r="G76" s="1332">
        <v>0</v>
      </c>
      <c r="H76" s="1332"/>
      <c r="I76" s="1332"/>
      <c r="J76" s="1333">
        <f t="shared" si="29"/>
        <v>0</v>
      </c>
      <c r="K76" s="1332">
        <f t="shared" si="30"/>
        <v>3000000</v>
      </c>
      <c r="L76" s="1333">
        <f t="shared" si="31"/>
        <v>2317138.25</v>
      </c>
    </row>
    <row r="77" spans="1:12" s="138" customFormat="1" ht="30" customHeight="1" thickBot="1">
      <c r="A77" s="139"/>
      <c r="B77" s="140" t="s">
        <v>350</v>
      </c>
      <c r="C77" s="1246">
        <f>SUM(C71:C76)</f>
        <v>6690000</v>
      </c>
      <c r="D77" s="1246">
        <f aca="true" t="shared" si="32" ref="D77:L77">SUM(D71:D76)</f>
        <v>218000</v>
      </c>
      <c r="E77" s="1246">
        <f t="shared" si="32"/>
        <v>682861.75</v>
      </c>
      <c r="F77" s="1246">
        <f t="shared" si="32"/>
        <v>6225138.25</v>
      </c>
      <c r="G77" s="1246">
        <f t="shared" si="32"/>
        <v>0</v>
      </c>
      <c r="H77" s="1246">
        <f t="shared" si="32"/>
        <v>0</v>
      </c>
      <c r="I77" s="1246">
        <f t="shared" si="32"/>
        <v>0</v>
      </c>
      <c r="J77" s="1246">
        <f t="shared" si="32"/>
        <v>0</v>
      </c>
      <c r="K77" s="1246">
        <f t="shared" si="32"/>
        <v>6690000</v>
      </c>
      <c r="L77" s="1246">
        <f t="shared" si="32"/>
        <v>6225138.25</v>
      </c>
    </row>
    <row r="78" spans="1:12" ht="18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</row>
    <row r="79" spans="1:12" ht="15.75" thickBot="1">
      <c r="A79" s="125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</row>
    <row r="80" spans="1:12" s="90" customFormat="1" ht="261.75" customHeight="1">
      <c r="A80" s="92" t="s">
        <v>323</v>
      </c>
      <c r="B80" s="93" t="s">
        <v>342</v>
      </c>
      <c r="C80" s="813" t="s">
        <v>1124</v>
      </c>
      <c r="D80" s="813" t="s">
        <v>1332</v>
      </c>
      <c r="E80" s="813" t="s">
        <v>1333</v>
      </c>
      <c r="F80" s="813" t="s">
        <v>1334</v>
      </c>
      <c r="G80" s="813" t="s">
        <v>1184</v>
      </c>
      <c r="H80" s="813" t="s">
        <v>1335</v>
      </c>
      <c r="I80" s="813" t="s">
        <v>1336</v>
      </c>
      <c r="J80" s="813" t="s">
        <v>1337</v>
      </c>
      <c r="K80" s="813" t="s">
        <v>1125</v>
      </c>
      <c r="L80" s="813" t="s">
        <v>1331</v>
      </c>
    </row>
    <row r="81" spans="1:12" ht="20.25" customHeight="1">
      <c r="A81" s="94">
        <v>0</v>
      </c>
      <c r="B81" s="95">
        <v>1</v>
      </c>
      <c r="C81" s="1241">
        <v>2</v>
      </c>
      <c r="D81" s="1241">
        <v>3</v>
      </c>
      <c r="E81" s="1241">
        <v>4</v>
      </c>
      <c r="F81" s="1241">
        <v>5</v>
      </c>
      <c r="G81" s="1241">
        <v>6</v>
      </c>
      <c r="H81" s="1241">
        <v>7</v>
      </c>
      <c r="I81" s="1241">
        <v>8</v>
      </c>
      <c r="J81" s="1241">
        <v>9</v>
      </c>
      <c r="K81" s="1241">
        <v>10</v>
      </c>
      <c r="L81" s="990">
        <v>11</v>
      </c>
    </row>
    <row r="82" spans="1:12" s="143" customFormat="1" ht="12.75" customHeight="1">
      <c r="A82" s="142"/>
      <c r="B82" s="1147"/>
      <c r="C82" s="1251"/>
      <c r="D82" s="1251"/>
      <c r="E82" s="1251"/>
      <c r="F82" s="1251"/>
      <c r="G82" s="1251"/>
      <c r="H82" s="1251"/>
      <c r="I82" s="1251"/>
      <c r="J82" s="1251"/>
      <c r="K82" s="1251"/>
      <c r="L82" s="1520"/>
    </row>
    <row r="83" spans="1:12" s="143" customFormat="1" ht="63" customHeight="1">
      <c r="A83" s="1144">
        <v>715100</v>
      </c>
      <c r="B83" s="1148" t="s">
        <v>363</v>
      </c>
      <c r="C83" s="1252"/>
      <c r="D83" s="1252"/>
      <c r="E83" s="1252"/>
      <c r="F83" s="1252"/>
      <c r="G83" s="1252"/>
      <c r="H83" s="1252"/>
      <c r="I83" s="1252"/>
      <c r="J83" s="1252"/>
      <c r="K83" s="1252"/>
      <c r="L83" s="1521"/>
    </row>
    <row r="84" spans="1:12" ht="96.75" customHeight="1">
      <c r="A84" s="114">
        <v>715132</v>
      </c>
      <c r="B84" s="115" t="s">
        <v>97</v>
      </c>
      <c r="C84" s="1249">
        <v>10000</v>
      </c>
      <c r="D84" s="1249"/>
      <c r="E84" s="1249"/>
      <c r="F84" s="1086">
        <f>C84+D84-E84</f>
        <v>10000</v>
      </c>
      <c r="G84" s="1249">
        <v>0</v>
      </c>
      <c r="H84" s="1249"/>
      <c r="I84" s="1249"/>
      <c r="J84" s="1086">
        <f>G84+H84-I84</f>
        <v>0</v>
      </c>
      <c r="K84" s="1249">
        <f>C84+G84</f>
        <v>10000</v>
      </c>
      <c r="L84" s="1086">
        <f>F84+J84</f>
        <v>10000</v>
      </c>
    </row>
    <row r="85" spans="1:12" ht="27.75" customHeight="1">
      <c r="A85" s="105">
        <v>715141</v>
      </c>
      <c r="B85" s="132" t="s">
        <v>364</v>
      </c>
      <c r="C85" s="1248">
        <v>10000</v>
      </c>
      <c r="D85" s="1248"/>
      <c r="E85" s="1248"/>
      <c r="F85" s="991">
        <f>C85+D85-E85</f>
        <v>10000</v>
      </c>
      <c r="G85" s="1248">
        <v>0</v>
      </c>
      <c r="H85" s="1248"/>
      <c r="I85" s="1248"/>
      <c r="J85" s="991">
        <f>G85+H85-I85</f>
        <v>0</v>
      </c>
      <c r="K85" s="1248">
        <f>C85+G85</f>
        <v>10000</v>
      </c>
      <c r="L85" s="991">
        <f>F85+J85</f>
        <v>10000</v>
      </c>
    </row>
    <row r="86" spans="1:12" s="145" customFormat="1" ht="30" customHeight="1">
      <c r="A86" s="144"/>
      <c r="B86" s="116" t="s">
        <v>365</v>
      </c>
      <c r="C86" s="1243">
        <f>SUM(C84:C85)</f>
        <v>20000</v>
      </c>
      <c r="D86" s="1243">
        <f aca="true" t="shared" si="33" ref="D86:L86">SUM(D84:D85)</f>
        <v>0</v>
      </c>
      <c r="E86" s="1243">
        <f t="shared" si="33"/>
        <v>0</v>
      </c>
      <c r="F86" s="1243">
        <f t="shared" si="33"/>
        <v>20000</v>
      </c>
      <c r="G86" s="1243">
        <f t="shared" si="33"/>
        <v>0</v>
      </c>
      <c r="H86" s="1243">
        <f t="shared" si="33"/>
        <v>0</v>
      </c>
      <c r="I86" s="1243">
        <f t="shared" si="33"/>
        <v>0</v>
      </c>
      <c r="J86" s="1243">
        <f t="shared" si="33"/>
        <v>0</v>
      </c>
      <c r="K86" s="1243">
        <f t="shared" si="33"/>
        <v>20000</v>
      </c>
      <c r="L86" s="1243">
        <f t="shared" si="33"/>
        <v>20000</v>
      </c>
    </row>
    <row r="87" spans="1:12" ht="56.25" customHeight="1">
      <c r="A87" s="110">
        <v>715900</v>
      </c>
      <c r="B87" s="1147" t="s">
        <v>250</v>
      </c>
      <c r="C87" s="1253"/>
      <c r="D87" s="1253"/>
      <c r="E87" s="1253"/>
      <c r="F87" s="1253"/>
      <c r="G87" s="1253"/>
      <c r="H87" s="1253"/>
      <c r="I87" s="1253"/>
      <c r="J87" s="1253"/>
      <c r="K87" s="1253"/>
      <c r="L87" s="1003"/>
    </row>
    <row r="88" spans="1:12" s="135" customFormat="1" ht="71.25" customHeight="1">
      <c r="A88" s="1395">
        <v>715914</v>
      </c>
      <c r="B88" s="1396" t="s">
        <v>90</v>
      </c>
      <c r="C88" s="1397">
        <v>30000</v>
      </c>
      <c r="D88" s="1397"/>
      <c r="E88" s="1397">
        <v>29000</v>
      </c>
      <c r="F88" s="1398">
        <f>C88+D88-E88</f>
        <v>1000</v>
      </c>
      <c r="G88" s="1397">
        <v>0</v>
      </c>
      <c r="H88" s="1397"/>
      <c r="I88" s="1397"/>
      <c r="J88" s="1398">
        <f>G88+H88-I88</f>
        <v>0</v>
      </c>
      <c r="K88" s="1397">
        <f>C88+G88</f>
        <v>30000</v>
      </c>
      <c r="L88" s="1398">
        <f>F88+J88</f>
        <v>1000</v>
      </c>
    </row>
    <row r="89" spans="1:12" s="135" customFormat="1" ht="109.5" customHeight="1">
      <c r="A89" s="133">
        <v>715915</v>
      </c>
      <c r="B89" s="134" t="s">
        <v>87</v>
      </c>
      <c r="C89" s="1249">
        <v>1000</v>
      </c>
      <c r="D89" s="1249"/>
      <c r="E89" s="1249"/>
      <c r="F89" s="1086">
        <f>C89+D89-E89</f>
        <v>1000</v>
      </c>
      <c r="G89" s="1249">
        <v>0</v>
      </c>
      <c r="H89" s="1249"/>
      <c r="I89" s="1249"/>
      <c r="J89" s="1086">
        <f>G89+H89-I89</f>
        <v>0</v>
      </c>
      <c r="K89" s="1249">
        <f>C89+G89</f>
        <v>1000</v>
      </c>
      <c r="L89" s="1086">
        <f>F89+J89</f>
        <v>1000</v>
      </c>
    </row>
    <row r="90" spans="1:12" s="149" customFormat="1" ht="30.75" customHeight="1">
      <c r="A90" s="148"/>
      <c r="B90" s="119" t="s">
        <v>366</v>
      </c>
      <c r="C90" s="1243">
        <f aca="true" t="shared" si="34" ref="C90:L90">SUM(C88:C89)</f>
        <v>31000</v>
      </c>
      <c r="D90" s="1243">
        <f t="shared" si="34"/>
        <v>0</v>
      </c>
      <c r="E90" s="1243">
        <f t="shared" si="34"/>
        <v>29000</v>
      </c>
      <c r="F90" s="1243">
        <f t="shared" si="34"/>
        <v>2000</v>
      </c>
      <c r="G90" s="1243">
        <f t="shared" si="34"/>
        <v>0</v>
      </c>
      <c r="H90" s="1243">
        <f t="shared" si="34"/>
        <v>0</v>
      </c>
      <c r="I90" s="1243">
        <f t="shared" si="34"/>
        <v>0</v>
      </c>
      <c r="J90" s="1243">
        <f t="shared" si="34"/>
        <v>0</v>
      </c>
      <c r="K90" s="1243">
        <f t="shared" si="34"/>
        <v>31000</v>
      </c>
      <c r="L90" s="1243">
        <f t="shared" si="34"/>
        <v>2000</v>
      </c>
    </row>
    <row r="91" spans="1:12" ht="31.5" customHeight="1">
      <c r="A91" s="110">
        <v>716100</v>
      </c>
      <c r="B91" s="116" t="s">
        <v>367</v>
      </c>
      <c r="C91" s="1247"/>
      <c r="D91" s="1247"/>
      <c r="E91" s="1247"/>
      <c r="F91" s="1247"/>
      <c r="G91" s="1247"/>
      <c r="H91" s="1247"/>
      <c r="I91" s="1247"/>
      <c r="J91" s="1247"/>
      <c r="K91" s="1247"/>
      <c r="L91" s="995"/>
    </row>
    <row r="92" spans="1:12" ht="46.5" customHeight="1">
      <c r="A92" s="1395">
        <v>716111</v>
      </c>
      <c r="B92" s="1396" t="s">
        <v>369</v>
      </c>
      <c r="C92" s="1397">
        <v>8580000</v>
      </c>
      <c r="D92" s="1397"/>
      <c r="E92" s="1397">
        <v>2246000</v>
      </c>
      <c r="F92" s="1398">
        <f aca="true" t="shared" si="35" ref="F92:F98">C92+D92-E92</f>
        <v>6334000</v>
      </c>
      <c r="G92" s="1397">
        <v>0</v>
      </c>
      <c r="H92" s="1397"/>
      <c r="I92" s="1397"/>
      <c r="J92" s="1398">
        <f aca="true" t="shared" si="36" ref="J92:J98">G92+H92-I92</f>
        <v>0</v>
      </c>
      <c r="K92" s="1397">
        <f aca="true" t="shared" si="37" ref="K92:K98">C92+G92</f>
        <v>8580000</v>
      </c>
      <c r="L92" s="1398">
        <f aca="true" t="shared" si="38" ref="L92:L98">F92+J92</f>
        <v>6334000</v>
      </c>
    </row>
    <row r="93" spans="1:12" ht="34.5" customHeight="1">
      <c r="A93" s="1391">
        <v>716112</v>
      </c>
      <c r="B93" s="1399" t="s">
        <v>368</v>
      </c>
      <c r="C93" s="1397">
        <v>419000</v>
      </c>
      <c r="D93" s="1397"/>
      <c r="E93" s="1397">
        <v>263000</v>
      </c>
      <c r="F93" s="1398">
        <f t="shared" si="35"/>
        <v>156000</v>
      </c>
      <c r="G93" s="1397">
        <v>0</v>
      </c>
      <c r="H93" s="1397"/>
      <c r="I93" s="1397"/>
      <c r="J93" s="1398">
        <f t="shared" si="36"/>
        <v>0</v>
      </c>
      <c r="K93" s="1397">
        <f t="shared" si="37"/>
        <v>419000</v>
      </c>
      <c r="L93" s="1398">
        <f t="shared" si="38"/>
        <v>156000</v>
      </c>
    </row>
    <row r="94" spans="1:12" ht="33" customHeight="1">
      <c r="A94" s="1391">
        <v>716113</v>
      </c>
      <c r="B94" s="1399" t="s">
        <v>589</v>
      </c>
      <c r="C94" s="1397">
        <v>35500</v>
      </c>
      <c r="D94" s="1397"/>
      <c r="E94" s="1397">
        <v>11000</v>
      </c>
      <c r="F94" s="1398">
        <f t="shared" si="35"/>
        <v>24500</v>
      </c>
      <c r="G94" s="1397">
        <v>0</v>
      </c>
      <c r="H94" s="1397"/>
      <c r="I94" s="1397"/>
      <c r="J94" s="1398">
        <f t="shared" si="36"/>
        <v>0</v>
      </c>
      <c r="K94" s="1397">
        <f t="shared" si="37"/>
        <v>35500</v>
      </c>
      <c r="L94" s="1398">
        <f t="shared" si="38"/>
        <v>24500</v>
      </c>
    </row>
    <row r="95" spans="1:12" ht="29.25" customHeight="1">
      <c r="A95" s="1391">
        <v>716114</v>
      </c>
      <c r="B95" s="1335" t="s">
        <v>548</v>
      </c>
      <c r="C95" s="1397">
        <v>30500</v>
      </c>
      <c r="D95" s="1397"/>
      <c r="E95" s="1397">
        <v>8300</v>
      </c>
      <c r="F95" s="1398">
        <f t="shared" si="35"/>
        <v>22200</v>
      </c>
      <c r="G95" s="1397">
        <v>0</v>
      </c>
      <c r="H95" s="1397"/>
      <c r="I95" s="1397"/>
      <c r="J95" s="1398">
        <f t="shared" si="36"/>
        <v>0</v>
      </c>
      <c r="K95" s="1397">
        <f t="shared" si="37"/>
        <v>30500</v>
      </c>
      <c r="L95" s="1398">
        <f t="shared" si="38"/>
        <v>22200</v>
      </c>
    </row>
    <row r="96" spans="1:12" ht="51.75" customHeight="1">
      <c r="A96" s="1400">
        <v>716115</v>
      </c>
      <c r="B96" s="1396" t="s">
        <v>590</v>
      </c>
      <c r="C96" s="1397">
        <v>414000</v>
      </c>
      <c r="D96" s="1397"/>
      <c r="E96" s="1397">
        <v>299000</v>
      </c>
      <c r="F96" s="1398">
        <f t="shared" si="35"/>
        <v>115000</v>
      </c>
      <c r="G96" s="1397">
        <v>0</v>
      </c>
      <c r="H96" s="1397"/>
      <c r="I96" s="1397"/>
      <c r="J96" s="1398">
        <f t="shared" si="36"/>
        <v>0</v>
      </c>
      <c r="K96" s="1397">
        <f t="shared" si="37"/>
        <v>414000</v>
      </c>
      <c r="L96" s="1398">
        <f t="shared" si="38"/>
        <v>115000</v>
      </c>
    </row>
    <row r="97" spans="1:12" ht="51" customHeight="1">
      <c r="A97" s="1400">
        <v>716116</v>
      </c>
      <c r="B97" s="1401" t="s">
        <v>98</v>
      </c>
      <c r="C97" s="1397">
        <v>843495</v>
      </c>
      <c r="D97" s="1397"/>
      <c r="E97" s="1397">
        <v>360000</v>
      </c>
      <c r="F97" s="1398">
        <f t="shared" si="35"/>
        <v>483495</v>
      </c>
      <c r="G97" s="1397">
        <v>0</v>
      </c>
      <c r="H97" s="1397"/>
      <c r="I97" s="1397"/>
      <c r="J97" s="1398">
        <f t="shared" si="36"/>
        <v>0</v>
      </c>
      <c r="K97" s="1397">
        <f t="shared" si="37"/>
        <v>843495</v>
      </c>
      <c r="L97" s="1398">
        <f t="shared" si="38"/>
        <v>483495</v>
      </c>
    </row>
    <row r="98" spans="1:12" ht="33" customHeight="1">
      <c r="A98" s="1391">
        <v>716117</v>
      </c>
      <c r="B98" s="1392" t="s">
        <v>370</v>
      </c>
      <c r="C98" s="1397">
        <v>436000</v>
      </c>
      <c r="D98" s="1397"/>
      <c r="E98" s="1397">
        <v>72229</v>
      </c>
      <c r="F98" s="1398">
        <f t="shared" si="35"/>
        <v>363771</v>
      </c>
      <c r="G98" s="1397">
        <v>0</v>
      </c>
      <c r="H98" s="1397"/>
      <c r="I98" s="1397"/>
      <c r="J98" s="1398">
        <f t="shared" si="36"/>
        <v>0</v>
      </c>
      <c r="K98" s="1397">
        <f t="shared" si="37"/>
        <v>436000</v>
      </c>
      <c r="L98" s="1398">
        <f t="shared" si="38"/>
        <v>363771</v>
      </c>
    </row>
    <row r="99" spans="1:12" s="145" customFormat="1" ht="30.75" customHeight="1">
      <c r="A99" s="1402"/>
      <c r="B99" s="1403" t="s">
        <v>371</v>
      </c>
      <c r="C99" s="1404">
        <f>SUM(C92:C98)</f>
        <v>10758495</v>
      </c>
      <c r="D99" s="1404">
        <f aca="true" t="shared" si="39" ref="D99:L99">SUM(D92:D98)</f>
        <v>0</v>
      </c>
      <c r="E99" s="1404">
        <f t="shared" si="39"/>
        <v>3259529</v>
      </c>
      <c r="F99" s="1404">
        <f t="shared" si="39"/>
        <v>7498966</v>
      </c>
      <c r="G99" s="1404">
        <f t="shared" si="39"/>
        <v>0</v>
      </c>
      <c r="H99" s="1404">
        <f t="shared" si="39"/>
        <v>0</v>
      </c>
      <c r="I99" s="1404">
        <f t="shared" si="39"/>
        <v>0</v>
      </c>
      <c r="J99" s="1404">
        <f t="shared" si="39"/>
        <v>0</v>
      </c>
      <c r="K99" s="1404">
        <f t="shared" si="39"/>
        <v>10758495</v>
      </c>
      <c r="L99" s="1404">
        <f t="shared" si="39"/>
        <v>7498966</v>
      </c>
    </row>
    <row r="100" spans="1:12" ht="27.75" customHeight="1">
      <c r="A100" s="97">
        <v>717100</v>
      </c>
      <c r="B100" s="98" t="s">
        <v>372</v>
      </c>
      <c r="C100" s="1242"/>
      <c r="D100" s="1242"/>
      <c r="E100" s="1242"/>
      <c r="F100" s="1242"/>
      <c r="G100" s="1242"/>
      <c r="H100" s="1242"/>
      <c r="I100" s="1242"/>
      <c r="J100" s="1242"/>
      <c r="K100" s="1242"/>
      <c r="L100" s="995"/>
    </row>
    <row r="101" spans="1:12" ht="27.75" customHeight="1">
      <c r="A101" s="1405">
        <v>717114</v>
      </c>
      <c r="B101" s="1406" t="s">
        <v>976</v>
      </c>
      <c r="C101" s="1332">
        <v>595075</v>
      </c>
      <c r="D101" s="1332"/>
      <c r="E101" s="1332">
        <v>94901</v>
      </c>
      <c r="F101" s="1333">
        <f>C101+D101-E101</f>
        <v>500174</v>
      </c>
      <c r="G101" s="1332">
        <v>0</v>
      </c>
      <c r="H101" s="1332"/>
      <c r="I101" s="1332"/>
      <c r="J101" s="1333">
        <f>G101+H101-I101</f>
        <v>0</v>
      </c>
      <c r="K101" s="1332">
        <f>C101+G101</f>
        <v>595075</v>
      </c>
      <c r="L101" s="1333">
        <f>F101+J101</f>
        <v>500174</v>
      </c>
    </row>
    <row r="102" spans="1:12" ht="24.75" customHeight="1">
      <c r="A102" s="1334">
        <v>717131</v>
      </c>
      <c r="B102" s="1335" t="s">
        <v>253</v>
      </c>
      <c r="C102" s="1332">
        <v>1541753</v>
      </c>
      <c r="D102" s="1332"/>
      <c r="E102" s="1332">
        <v>226917</v>
      </c>
      <c r="F102" s="1333">
        <f>C102+D102-E102</f>
        <v>1314836</v>
      </c>
      <c r="G102" s="1332">
        <v>0</v>
      </c>
      <c r="H102" s="1332"/>
      <c r="I102" s="1332"/>
      <c r="J102" s="1333">
        <f>G102+H102-I102</f>
        <v>0</v>
      </c>
      <c r="K102" s="1332">
        <f>C102+G102</f>
        <v>1541753</v>
      </c>
      <c r="L102" s="1333">
        <f>F102+J102</f>
        <v>1314836</v>
      </c>
    </row>
    <row r="103" spans="1:12" ht="27" customHeight="1">
      <c r="A103" s="1391">
        <v>717141</v>
      </c>
      <c r="B103" s="1392" t="s">
        <v>99</v>
      </c>
      <c r="C103" s="1332">
        <v>11866292</v>
      </c>
      <c r="D103" s="1332"/>
      <c r="E103" s="1332">
        <v>1746497</v>
      </c>
      <c r="F103" s="1333">
        <f>C103+D103-E103</f>
        <v>10119795</v>
      </c>
      <c r="G103" s="1332">
        <v>0</v>
      </c>
      <c r="H103" s="1332"/>
      <c r="I103" s="1332"/>
      <c r="J103" s="1333">
        <f>G103+H103-I103</f>
        <v>0</v>
      </c>
      <c r="K103" s="1332">
        <f>C103+G103</f>
        <v>11866292</v>
      </c>
      <c r="L103" s="1333">
        <f>F103+J103</f>
        <v>10119795</v>
      </c>
    </row>
    <row r="104" spans="1:12" s="145" customFormat="1" ht="30" customHeight="1">
      <c r="A104" s="151"/>
      <c r="B104" s="109" t="s">
        <v>373</v>
      </c>
      <c r="C104" s="1243">
        <f>SUM(C101:C103)</f>
        <v>14003120</v>
      </c>
      <c r="D104" s="1243">
        <f aca="true" t="shared" si="40" ref="D104:L104">SUM(D101:D103)</f>
        <v>0</v>
      </c>
      <c r="E104" s="1243">
        <f t="shared" si="40"/>
        <v>2068315</v>
      </c>
      <c r="F104" s="1243">
        <f t="shared" si="40"/>
        <v>11934805</v>
      </c>
      <c r="G104" s="1243">
        <f t="shared" si="40"/>
        <v>0</v>
      </c>
      <c r="H104" s="1243">
        <f t="shared" si="40"/>
        <v>0</v>
      </c>
      <c r="I104" s="1243">
        <f t="shared" si="40"/>
        <v>0</v>
      </c>
      <c r="J104" s="1243">
        <f t="shared" si="40"/>
        <v>0</v>
      </c>
      <c r="K104" s="1243">
        <f t="shared" si="40"/>
        <v>14003120</v>
      </c>
      <c r="L104" s="1243">
        <f t="shared" si="40"/>
        <v>11934805</v>
      </c>
    </row>
    <row r="105" spans="1:12" s="120" customFormat="1" ht="38.25" customHeight="1" thickBot="1">
      <c r="A105" s="152"/>
      <c r="B105" s="153" t="s">
        <v>374</v>
      </c>
      <c r="C105" s="1246">
        <f>SUM(C63,C68,C77,C86,C90,C99,C104,)</f>
        <v>31527615</v>
      </c>
      <c r="D105" s="1246">
        <f aca="true" t="shared" si="41" ref="D105:L105">SUM(D63,D68,D77,D86,D90,D99,D104,)</f>
        <v>218000</v>
      </c>
      <c r="E105" s="1246">
        <f t="shared" si="41"/>
        <v>6039705.75</v>
      </c>
      <c r="F105" s="1246">
        <f t="shared" si="41"/>
        <v>25705909.25</v>
      </c>
      <c r="G105" s="1246">
        <f t="shared" si="41"/>
        <v>0</v>
      </c>
      <c r="H105" s="1246">
        <f t="shared" si="41"/>
        <v>0</v>
      </c>
      <c r="I105" s="1246">
        <f t="shared" si="41"/>
        <v>0</v>
      </c>
      <c r="J105" s="1246">
        <f t="shared" si="41"/>
        <v>0</v>
      </c>
      <c r="K105" s="1246">
        <f t="shared" si="41"/>
        <v>31527615</v>
      </c>
      <c r="L105" s="1246">
        <f t="shared" si="41"/>
        <v>25705909.25</v>
      </c>
    </row>
    <row r="106" spans="1:12" ht="20.25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</row>
    <row r="107" spans="1:12" ht="21" thickBo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</row>
    <row r="108" spans="1:12" s="90" customFormat="1" ht="261.75" customHeight="1">
      <c r="A108" s="92" t="s">
        <v>323</v>
      </c>
      <c r="B108" s="93" t="s">
        <v>342</v>
      </c>
      <c r="C108" s="813" t="s">
        <v>1124</v>
      </c>
      <c r="D108" s="813" t="s">
        <v>1332</v>
      </c>
      <c r="E108" s="813" t="s">
        <v>1333</v>
      </c>
      <c r="F108" s="813" t="s">
        <v>1334</v>
      </c>
      <c r="G108" s="813" t="s">
        <v>1184</v>
      </c>
      <c r="H108" s="813" t="s">
        <v>1335</v>
      </c>
      <c r="I108" s="813" t="s">
        <v>1336</v>
      </c>
      <c r="J108" s="813" t="s">
        <v>1337</v>
      </c>
      <c r="K108" s="813" t="s">
        <v>1125</v>
      </c>
      <c r="L108" s="813" t="s">
        <v>1331</v>
      </c>
    </row>
    <row r="109" spans="1:12" ht="20.25">
      <c r="A109" s="94">
        <v>0</v>
      </c>
      <c r="B109" s="95">
        <v>1</v>
      </c>
      <c r="C109" s="1241">
        <v>2</v>
      </c>
      <c r="D109" s="1241">
        <v>3</v>
      </c>
      <c r="E109" s="1241">
        <v>4</v>
      </c>
      <c r="F109" s="1241">
        <v>5</v>
      </c>
      <c r="G109" s="1241">
        <v>6</v>
      </c>
      <c r="H109" s="1241">
        <v>7</v>
      </c>
      <c r="I109" s="1241">
        <v>8</v>
      </c>
      <c r="J109" s="1241">
        <v>9</v>
      </c>
      <c r="K109" s="1241">
        <v>10</v>
      </c>
      <c r="L109" s="990">
        <v>11</v>
      </c>
    </row>
    <row r="110" spans="1:12" ht="12.75" customHeight="1">
      <c r="A110" s="1518">
        <v>720000</v>
      </c>
      <c r="B110" s="1522" t="s">
        <v>375</v>
      </c>
      <c r="C110" s="1251"/>
      <c r="D110" s="1251"/>
      <c r="E110" s="1251"/>
      <c r="F110" s="1251"/>
      <c r="G110" s="1251"/>
      <c r="H110" s="1251"/>
      <c r="I110" s="1251"/>
      <c r="J110" s="1251"/>
      <c r="K110" s="1251"/>
      <c r="L110" s="1520"/>
    </row>
    <row r="111" spans="1:12" ht="24" customHeight="1">
      <c r="A111" s="1519"/>
      <c r="B111" s="1523"/>
      <c r="C111" s="1252"/>
      <c r="D111" s="1252"/>
      <c r="E111" s="1252"/>
      <c r="F111" s="1252"/>
      <c r="G111" s="1252"/>
      <c r="H111" s="1252"/>
      <c r="I111" s="1252"/>
      <c r="J111" s="1252"/>
      <c r="K111" s="1252"/>
      <c r="L111" s="1521"/>
    </row>
    <row r="112" spans="1:12" ht="51" customHeight="1">
      <c r="A112" s="97">
        <v>721100</v>
      </c>
      <c r="B112" s="154" t="s">
        <v>376</v>
      </c>
      <c r="C112" s="1242"/>
      <c r="D112" s="1242"/>
      <c r="E112" s="1242"/>
      <c r="F112" s="1242"/>
      <c r="G112" s="1242"/>
      <c r="H112" s="1242"/>
      <c r="I112" s="1242"/>
      <c r="J112" s="1242"/>
      <c r="K112" s="1242"/>
      <c r="L112" s="867"/>
    </row>
    <row r="113" spans="1:12" ht="51" customHeight="1">
      <c r="A113" s="1433">
        <v>721111</v>
      </c>
      <c r="B113" s="1434" t="s">
        <v>1194</v>
      </c>
      <c r="C113" s="1430">
        <v>0</v>
      </c>
      <c r="D113" s="1430">
        <v>385000</v>
      </c>
      <c r="E113" s="1430"/>
      <c r="F113" s="1429">
        <f>C113+D113-E113</f>
        <v>385000</v>
      </c>
      <c r="G113" s="1430">
        <v>0</v>
      </c>
      <c r="H113" s="1430"/>
      <c r="I113" s="1430"/>
      <c r="J113" s="1429">
        <f>G113+H113-I113</f>
        <v>0</v>
      </c>
      <c r="K113" s="1430">
        <f>C113+G113</f>
        <v>0</v>
      </c>
      <c r="L113" s="1429">
        <f>F113+J113</f>
        <v>385000</v>
      </c>
    </row>
    <row r="114" spans="1:12" ht="57.75" customHeight="1">
      <c r="A114" s="1400">
        <v>721112</v>
      </c>
      <c r="B114" s="1401" t="s">
        <v>100</v>
      </c>
      <c r="C114" s="1431">
        <v>458198</v>
      </c>
      <c r="D114" s="1431">
        <v>351000</v>
      </c>
      <c r="E114" s="1431"/>
      <c r="F114" s="1432">
        <f>C114+D114-E114</f>
        <v>809198</v>
      </c>
      <c r="G114" s="1431">
        <v>0</v>
      </c>
      <c r="H114" s="1431"/>
      <c r="I114" s="1431"/>
      <c r="J114" s="1432">
        <f>G114+H114-I114</f>
        <v>0</v>
      </c>
      <c r="K114" s="1431">
        <f>C114+G114</f>
        <v>458198</v>
      </c>
      <c r="L114" s="1432">
        <f>F114+J114</f>
        <v>809198</v>
      </c>
    </row>
    <row r="115" spans="1:12" ht="30" customHeight="1">
      <c r="A115" s="1391">
        <v>721121</v>
      </c>
      <c r="B115" s="1392" t="s">
        <v>314</v>
      </c>
      <c r="C115" s="1397">
        <v>15000</v>
      </c>
      <c r="D115" s="1397"/>
      <c r="E115" s="1397">
        <v>2000</v>
      </c>
      <c r="F115" s="1333">
        <f>C115+D115-E115</f>
        <v>13000</v>
      </c>
      <c r="G115" s="1397">
        <v>0</v>
      </c>
      <c r="H115" s="1397"/>
      <c r="I115" s="1397"/>
      <c r="J115" s="1333">
        <f>G115+H115-I115</f>
        <v>0</v>
      </c>
      <c r="K115" s="1397">
        <f>C115+G115</f>
        <v>15000</v>
      </c>
      <c r="L115" s="1333">
        <f>F115+J115</f>
        <v>13000</v>
      </c>
    </row>
    <row r="116" spans="1:12" ht="47.25" customHeight="1">
      <c r="A116" s="1400">
        <v>721122</v>
      </c>
      <c r="B116" s="1416" t="s">
        <v>251</v>
      </c>
      <c r="C116" s="1397">
        <v>450000</v>
      </c>
      <c r="D116" s="1397"/>
      <c r="E116" s="1397">
        <v>60000</v>
      </c>
      <c r="F116" s="1398">
        <f>C116+D116-E116</f>
        <v>390000</v>
      </c>
      <c r="G116" s="1397">
        <v>0</v>
      </c>
      <c r="H116" s="1397"/>
      <c r="I116" s="1397"/>
      <c r="J116" s="1398">
        <f>G116+H116-I116</f>
        <v>0</v>
      </c>
      <c r="K116" s="1397">
        <f>C116+G116</f>
        <v>450000</v>
      </c>
      <c r="L116" s="1398">
        <f>F116+J116</f>
        <v>390000</v>
      </c>
    </row>
    <row r="117" spans="1:12" ht="49.5" customHeight="1">
      <c r="A117" s="1400">
        <v>721129</v>
      </c>
      <c r="B117" s="1401" t="s">
        <v>76</v>
      </c>
      <c r="C117" s="1397">
        <v>10000</v>
      </c>
      <c r="D117" s="1397"/>
      <c r="E117" s="1397">
        <v>2000</v>
      </c>
      <c r="F117" s="1398">
        <f>C117+D117-E117</f>
        <v>8000</v>
      </c>
      <c r="G117" s="1397">
        <v>0</v>
      </c>
      <c r="H117" s="1397"/>
      <c r="I117" s="1397"/>
      <c r="J117" s="1398">
        <f>G117+H117-I117</f>
        <v>0</v>
      </c>
      <c r="K117" s="1397">
        <f>C117+G117</f>
        <v>10000</v>
      </c>
      <c r="L117" s="1398">
        <f>F117+J117</f>
        <v>8000</v>
      </c>
    </row>
    <row r="118" spans="1:12" s="145" customFormat="1" ht="35.25" customHeight="1">
      <c r="A118" s="118"/>
      <c r="B118" s="109" t="s">
        <v>378</v>
      </c>
      <c r="C118" s="1243">
        <f>SUM(C113:C117)</f>
        <v>933198</v>
      </c>
      <c r="D118" s="1243">
        <f aca="true" t="shared" si="42" ref="D118:L118">SUM(D113:D117)</f>
        <v>736000</v>
      </c>
      <c r="E118" s="1243">
        <f t="shared" si="42"/>
        <v>64000</v>
      </c>
      <c r="F118" s="1243">
        <f t="shared" si="42"/>
        <v>1605198</v>
      </c>
      <c r="G118" s="1243">
        <f t="shared" si="42"/>
        <v>0</v>
      </c>
      <c r="H118" s="1243">
        <f t="shared" si="42"/>
        <v>0</v>
      </c>
      <c r="I118" s="1243">
        <f t="shared" si="42"/>
        <v>0</v>
      </c>
      <c r="J118" s="1243">
        <f t="shared" si="42"/>
        <v>0</v>
      </c>
      <c r="K118" s="1243">
        <f t="shared" si="42"/>
        <v>933198</v>
      </c>
      <c r="L118" s="1243">
        <f t="shared" si="42"/>
        <v>1605198</v>
      </c>
    </row>
    <row r="119" spans="1:12" ht="27.75" customHeight="1">
      <c r="A119" s="110">
        <v>721200</v>
      </c>
      <c r="B119" s="116" t="s">
        <v>379</v>
      </c>
      <c r="C119" s="1247"/>
      <c r="D119" s="1247"/>
      <c r="E119" s="1247"/>
      <c r="F119" s="1247"/>
      <c r="G119" s="1247"/>
      <c r="H119" s="1247"/>
      <c r="I119" s="1247"/>
      <c r="J119" s="1247"/>
      <c r="K119" s="1247"/>
      <c r="L119" s="995"/>
    </row>
    <row r="120" spans="1:12" ht="27.75" customHeight="1">
      <c r="A120" s="1405">
        <v>721215</v>
      </c>
      <c r="B120" s="1407" t="s">
        <v>1396</v>
      </c>
      <c r="C120" s="1332">
        <v>0</v>
      </c>
      <c r="D120" s="1332">
        <v>3000</v>
      </c>
      <c r="E120" s="1332"/>
      <c r="F120" s="1333">
        <f>C120+D120-E120</f>
        <v>3000</v>
      </c>
      <c r="G120" s="1332">
        <v>0</v>
      </c>
      <c r="H120" s="1332"/>
      <c r="I120" s="1332"/>
      <c r="J120" s="1333">
        <f>G120+H120-I120</f>
        <v>0</v>
      </c>
      <c r="K120" s="1332">
        <f>C120+G120</f>
        <v>0</v>
      </c>
      <c r="L120" s="1333">
        <f>F120+J120</f>
        <v>3000</v>
      </c>
    </row>
    <row r="121" spans="1:12" ht="27.75" customHeight="1">
      <c r="A121" s="865">
        <v>721227</v>
      </c>
      <c r="B121" s="1089" t="s">
        <v>1060</v>
      </c>
      <c r="C121" s="1248">
        <v>1000</v>
      </c>
      <c r="D121" s="1248"/>
      <c r="E121" s="1248"/>
      <c r="F121" s="991">
        <f>C121+D121-E121</f>
        <v>1000</v>
      </c>
      <c r="G121" s="1248">
        <v>0</v>
      </c>
      <c r="H121" s="1248"/>
      <c r="I121" s="1248"/>
      <c r="J121" s="991">
        <f>G121+H121-I121</f>
        <v>0</v>
      </c>
      <c r="K121" s="1248">
        <f>C121+G121</f>
        <v>1000</v>
      </c>
      <c r="L121" s="991">
        <f>F121+J121</f>
        <v>1000</v>
      </c>
    </row>
    <row r="122" spans="1:12" ht="27.75" customHeight="1">
      <c r="A122" s="133">
        <v>721232</v>
      </c>
      <c r="B122" s="1088" t="s">
        <v>940</v>
      </c>
      <c r="C122" s="1254">
        <v>0</v>
      </c>
      <c r="D122" s="1254"/>
      <c r="E122" s="1254"/>
      <c r="F122" s="991">
        <f>C122+D122-E122</f>
        <v>0</v>
      </c>
      <c r="G122" s="1254">
        <v>0</v>
      </c>
      <c r="H122" s="1254"/>
      <c r="I122" s="1254"/>
      <c r="J122" s="991">
        <f>G122+H122-I122</f>
        <v>0</v>
      </c>
      <c r="K122" s="1254">
        <f>C122+G122</f>
        <v>0</v>
      </c>
      <c r="L122" s="991">
        <f>F122+J122</f>
        <v>0</v>
      </c>
    </row>
    <row r="123" spans="1:12" s="145" customFormat="1" ht="39" customHeight="1" thickBot="1">
      <c r="A123" s="123"/>
      <c r="B123" s="156" t="s">
        <v>381</v>
      </c>
      <c r="C123" s="1243">
        <f>SUM(C120:C122)</f>
        <v>1000</v>
      </c>
      <c r="D123" s="1243">
        <f aca="true" t="shared" si="43" ref="D123:L123">SUM(D120:D122)</f>
        <v>3000</v>
      </c>
      <c r="E123" s="1243">
        <f t="shared" si="43"/>
        <v>0</v>
      </c>
      <c r="F123" s="1243">
        <f t="shared" si="43"/>
        <v>4000</v>
      </c>
      <c r="G123" s="1243">
        <f t="shared" si="43"/>
        <v>0</v>
      </c>
      <c r="H123" s="1243">
        <f t="shared" si="43"/>
        <v>0</v>
      </c>
      <c r="I123" s="1243">
        <f t="shared" si="43"/>
        <v>0</v>
      </c>
      <c r="J123" s="1243">
        <f t="shared" si="43"/>
        <v>0</v>
      </c>
      <c r="K123" s="1243">
        <f t="shared" si="43"/>
        <v>1000</v>
      </c>
      <c r="L123" s="1243">
        <f t="shared" si="43"/>
        <v>4000</v>
      </c>
    </row>
    <row r="124" spans="1:12" ht="20.25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</row>
    <row r="125" spans="1:12" ht="21" thickBo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</row>
    <row r="126" spans="1:12" s="90" customFormat="1" ht="261" customHeight="1">
      <c r="A126" s="92" t="s">
        <v>323</v>
      </c>
      <c r="B126" s="93" t="s">
        <v>342</v>
      </c>
      <c r="C126" s="813" t="s">
        <v>1124</v>
      </c>
      <c r="D126" s="813" t="s">
        <v>1332</v>
      </c>
      <c r="E126" s="813" t="s">
        <v>1333</v>
      </c>
      <c r="F126" s="813" t="s">
        <v>1334</v>
      </c>
      <c r="G126" s="813" t="s">
        <v>1184</v>
      </c>
      <c r="H126" s="813" t="s">
        <v>1335</v>
      </c>
      <c r="I126" s="813" t="s">
        <v>1336</v>
      </c>
      <c r="J126" s="813" t="s">
        <v>1337</v>
      </c>
      <c r="K126" s="813" t="s">
        <v>1125</v>
      </c>
      <c r="L126" s="813" t="s">
        <v>1331</v>
      </c>
    </row>
    <row r="127" spans="1:12" ht="20.25">
      <c r="A127" s="94">
        <v>0</v>
      </c>
      <c r="B127" s="95">
        <v>1</v>
      </c>
      <c r="C127" s="1241">
        <v>2</v>
      </c>
      <c r="D127" s="1241">
        <v>3</v>
      </c>
      <c r="E127" s="1241">
        <v>4</v>
      </c>
      <c r="F127" s="1241">
        <v>5</v>
      </c>
      <c r="G127" s="1241">
        <v>6</v>
      </c>
      <c r="H127" s="1241">
        <v>7</v>
      </c>
      <c r="I127" s="1241">
        <v>8</v>
      </c>
      <c r="J127" s="1241">
        <v>9</v>
      </c>
      <c r="K127" s="1241">
        <v>10</v>
      </c>
      <c r="L127" s="990">
        <v>11</v>
      </c>
    </row>
    <row r="128" spans="1:12" ht="9.75" customHeight="1">
      <c r="A128" s="142"/>
      <c r="B128" s="1147"/>
      <c r="C128" s="1251"/>
      <c r="D128" s="1251"/>
      <c r="E128" s="1251"/>
      <c r="F128" s="1251"/>
      <c r="G128" s="1251"/>
      <c r="H128" s="1251"/>
      <c r="I128" s="1251"/>
      <c r="J128" s="1251"/>
      <c r="K128" s="1251"/>
      <c r="L128" s="1520"/>
    </row>
    <row r="129" spans="1:12" ht="33.75" customHeight="1">
      <c r="A129" s="157">
        <v>722100</v>
      </c>
      <c r="B129" s="1148" t="s">
        <v>275</v>
      </c>
      <c r="C129" s="1252"/>
      <c r="D129" s="1252"/>
      <c r="E129" s="1252"/>
      <c r="F129" s="1252"/>
      <c r="G129" s="1252"/>
      <c r="H129" s="1252"/>
      <c r="I129" s="1252"/>
      <c r="J129" s="1252"/>
      <c r="K129" s="1252"/>
      <c r="L129" s="1521"/>
    </row>
    <row r="130" spans="1:12" ht="27" customHeight="1">
      <c r="A130" s="1408">
        <v>722131</v>
      </c>
      <c r="B130" s="1409" t="s">
        <v>382</v>
      </c>
      <c r="C130" s="1332">
        <v>530000</v>
      </c>
      <c r="D130" s="1332"/>
      <c r="E130" s="1332">
        <v>140000</v>
      </c>
      <c r="F130" s="1333">
        <f>C130+D130-E130</f>
        <v>390000</v>
      </c>
      <c r="G130" s="1332">
        <v>0</v>
      </c>
      <c r="H130" s="1332"/>
      <c r="I130" s="1332"/>
      <c r="J130" s="1333">
        <f>G130+H130-I130</f>
        <v>0</v>
      </c>
      <c r="K130" s="1332">
        <f>C130+G130</f>
        <v>530000</v>
      </c>
      <c r="L130" s="1333">
        <f>F130+J130</f>
        <v>390000</v>
      </c>
    </row>
    <row r="131" spans="1:12" ht="27" customHeight="1">
      <c r="A131" s="1391">
        <v>722133</v>
      </c>
      <c r="B131" s="1392" t="s">
        <v>95</v>
      </c>
      <c r="C131" s="1332">
        <v>150000</v>
      </c>
      <c r="D131" s="1332"/>
      <c r="E131" s="1332">
        <v>3000</v>
      </c>
      <c r="F131" s="1333">
        <f>C131+D131-E131</f>
        <v>147000</v>
      </c>
      <c r="G131" s="1332">
        <v>0</v>
      </c>
      <c r="H131" s="1332"/>
      <c r="I131" s="1332"/>
      <c r="J131" s="1333">
        <f>G131+H131-I131</f>
        <v>0</v>
      </c>
      <c r="K131" s="1332">
        <f>C131+G131</f>
        <v>150000</v>
      </c>
      <c r="L131" s="1333">
        <f>F131+J131</f>
        <v>147000</v>
      </c>
    </row>
    <row r="132" spans="1:12" s="145" customFormat="1" ht="29.25" customHeight="1">
      <c r="A132" s="151"/>
      <c r="B132" s="109" t="s">
        <v>383</v>
      </c>
      <c r="C132" s="1243">
        <f>SUM(C130:C131)</f>
        <v>680000</v>
      </c>
      <c r="D132" s="1243">
        <f aca="true" t="shared" si="44" ref="D132:L132">SUM(D130:D131)</f>
        <v>0</v>
      </c>
      <c r="E132" s="1243">
        <f t="shared" si="44"/>
        <v>143000</v>
      </c>
      <c r="F132" s="1243">
        <f t="shared" si="44"/>
        <v>537000</v>
      </c>
      <c r="G132" s="1243">
        <f t="shared" si="44"/>
        <v>0</v>
      </c>
      <c r="H132" s="1243">
        <f t="shared" si="44"/>
        <v>0</v>
      </c>
      <c r="I132" s="1243">
        <f t="shared" si="44"/>
        <v>0</v>
      </c>
      <c r="J132" s="1243">
        <f t="shared" si="44"/>
        <v>0</v>
      </c>
      <c r="K132" s="1243">
        <f t="shared" si="44"/>
        <v>680000</v>
      </c>
      <c r="L132" s="1243">
        <f t="shared" si="44"/>
        <v>537000</v>
      </c>
    </row>
    <row r="133" spans="1:12" s="145" customFormat="1" ht="29.25" customHeight="1">
      <c r="A133" s="144">
        <v>722200</v>
      </c>
      <c r="B133" s="853" t="s">
        <v>1061</v>
      </c>
      <c r="C133" s="165"/>
      <c r="D133" s="165"/>
      <c r="E133" s="165"/>
      <c r="F133" s="165"/>
      <c r="G133" s="165"/>
      <c r="H133" s="165"/>
      <c r="I133" s="165"/>
      <c r="J133" s="165"/>
      <c r="K133" s="165"/>
      <c r="L133" s="954"/>
    </row>
    <row r="134" spans="1:12" s="145" customFormat="1" ht="29.25" customHeight="1">
      <c r="A134" s="1410">
        <v>722231</v>
      </c>
      <c r="B134" s="1411" t="s">
        <v>1062</v>
      </c>
      <c r="C134" s="1412">
        <v>0</v>
      </c>
      <c r="D134" s="1412">
        <v>1000</v>
      </c>
      <c r="E134" s="1412"/>
      <c r="F134" s="1333">
        <f>C134+D134-E134</f>
        <v>1000</v>
      </c>
      <c r="G134" s="1412">
        <v>0</v>
      </c>
      <c r="H134" s="1412"/>
      <c r="I134" s="1412"/>
      <c r="J134" s="1333">
        <f>G134+H134-I134</f>
        <v>0</v>
      </c>
      <c r="K134" s="1413">
        <f>C134+G134</f>
        <v>0</v>
      </c>
      <c r="L134" s="1333">
        <f>F134+J134</f>
        <v>1000</v>
      </c>
    </row>
    <row r="135" spans="1:12" s="145" customFormat="1" ht="29.25" customHeight="1">
      <c r="A135" s="151"/>
      <c r="B135" s="957" t="s">
        <v>1063</v>
      </c>
      <c r="C135" s="1256">
        <f>SUM(C134)</f>
        <v>0</v>
      </c>
      <c r="D135" s="1256">
        <f aca="true" t="shared" si="45" ref="D135:L135">SUM(D134)</f>
        <v>1000</v>
      </c>
      <c r="E135" s="1256">
        <f t="shared" si="45"/>
        <v>0</v>
      </c>
      <c r="F135" s="1256">
        <f t="shared" si="45"/>
        <v>1000</v>
      </c>
      <c r="G135" s="1256">
        <f t="shared" si="45"/>
        <v>0</v>
      </c>
      <c r="H135" s="1256">
        <f t="shared" si="45"/>
        <v>0</v>
      </c>
      <c r="I135" s="1256">
        <f t="shared" si="45"/>
        <v>0</v>
      </c>
      <c r="J135" s="1256">
        <f t="shared" si="45"/>
        <v>0</v>
      </c>
      <c r="K135" s="1256">
        <f t="shared" si="45"/>
        <v>0</v>
      </c>
      <c r="L135" s="1256">
        <f t="shared" si="45"/>
        <v>1000</v>
      </c>
    </row>
    <row r="136" spans="1:12" ht="28.5" customHeight="1">
      <c r="A136" s="97">
        <v>722300</v>
      </c>
      <c r="B136" s="98" t="s">
        <v>276</v>
      </c>
      <c r="C136" s="1250"/>
      <c r="D136" s="1250"/>
      <c r="E136" s="1250"/>
      <c r="F136" s="1250"/>
      <c r="G136" s="1250"/>
      <c r="H136" s="1250"/>
      <c r="I136" s="1250"/>
      <c r="J136" s="1250"/>
      <c r="K136" s="1250"/>
      <c r="L136" s="864"/>
    </row>
    <row r="137" spans="1:12" ht="27.75" customHeight="1">
      <c r="A137" s="1334">
        <v>722321</v>
      </c>
      <c r="B137" s="1335" t="s">
        <v>384</v>
      </c>
      <c r="C137" s="1332">
        <v>650000</v>
      </c>
      <c r="D137" s="1332"/>
      <c r="E137" s="1332">
        <v>117000</v>
      </c>
      <c r="F137" s="1333">
        <f>C137+D137-E137</f>
        <v>533000</v>
      </c>
      <c r="G137" s="1332">
        <v>0</v>
      </c>
      <c r="H137" s="1332"/>
      <c r="I137" s="1332"/>
      <c r="J137" s="1333">
        <f>G137+H137-I137</f>
        <v>0</v>
      </c>
      <c r="K137" s="1332">
        <f>C137+G137</f>
        <v>650000</v>
      </c>
      <c r="L137" s="1333">
        <f>F137+J137</f>
        <v>533000</v>
      </c>
    </row>
    <row r="138" spans="1:12" ht="27.75" customHeight="1">
      <c r="A138" s="1334">
        <v>722329</v>
      </c>
      <c r="B138" s="1335" t="s">
        <v>273</v>
      </c>
      <c r="C138" s="1332">
        <v>470000</v>
      </c>
      <c r="D138" s="1332"/>
      <c r="E138" s="1332">
        <v>146000</v>
      </c>
      <c r="F138" s="1333">
        <f>C138+D138-E138</f>
        <v>324000</v>
      </c>
      <c r="G138" s="1332">
        <v>0</v>
      </c>
      <c r="H138" s="1332"/>
      <c r="I138" s="1332"/>
      <c r="J138" s="1333">
        <f>G138+H138-I138</f>
        <v>0</v>
      </c>
      <c r="K138" s="1332">
        <f>C138+G138</f>
        <v>470000</v>
      </c>
      <c r="L138" s="1333">
        <f>F138+J138</f>
        <v>324000</v>
      </c>
    </row>
    <row r="139" spans="1:12" s="159" customFormat="1" ht="30" customHeight="1">
      <c r="A139" s="105"/>
      <c r="B139" s="158" t="s">
        <v>385</v>
      </c>
      <c r="C139" s="1243">
        <f>SUM(C137:C138)</f>
        <v>1120000</v>
      </c>
      <c r="D139" s="1243">
        <f aca="true" t="shared" si="46" ref="D139:L139">SUM(D137:D138)</f>
        <v>0</v>
      </c>
      <c r="E139" s="1243">
        <f t="shared" si="46"/>
        <v>263000</v>
      </c>
      <c r="F139" s="1243">
        <f t="shared" si="46"/>
        <v>857000</v>
      </c>
      <c r="G139" s="1243">
        <f t="shared" si="46"/>
        <v>0</v>
      </c>
      <c r="H139" s="1243">
        <f t="shared" si="46"/>
        <v>0</v>
      </c>
      <c r="I139" s="1243">
        <f t="shared" si="46"/>
        <v>0</v>
      </c>
      <c r="J139" s="1243">
        <f t="shared" si="46"/>
        <v>0</v>
      </c>
      <c r="K139" s="1243">
        <f t="shared" si="46"/>
        <v>1120000</v>
      </c>
      <c r="L139" s="1243">
        <f t="shared" si="46"/>
        <v>857000</v>
      </c>
    </row>
    <row r="140" spans="1:12" ht="34.5" customHeight="1">
      <c r="A140" s="110">
        <v>722400</v>
      </c>
      <c r="B140" s="98" t="s">
        <v>692</v>
      </c>
      <c r="C140" s="1247"/>
      <c r="D140" s="1247"/>
      <c r="E140" s="1247"/>
      <c r="F140" s="1247"/>
      <c r="G140" s="1247"/>
      <c r="H140" s="1247"/>
      <c r="I140" s="1247"/>
      <c r="J140" s="1247"/>
      <c r="K140" s="1247"/>
      <c r="L140" s="995"/>
    </row>
    <row r="141" spans="1:12" ht="27.75" customHeight="1">
      <c r="A141" s="1334">
        <v>722432</v>
      </c>
      <c r="B141" s="1335" t="s">
        <v>387</v>
      </c>
      <c r="C141" s="1332">
        <v>5000</v>
      </c>
      <c r="D141" s="1332"/>
      <c r="E141" s="1332">
        <v>1700</v>
      </c>
      <c r="F141" s="1333">
        <f aca="true" t="shared" si="47" ref="F141:F149">C141+D141-E141</f>
        <v>3300</v>
      </c>
      <c r="G141" s="1332">
        <v>0</v>
      </c>
      <c r="H141" s="1332"/>
      <c r="I141" s="1332"/>
      <c r="J141" s="1333">
        <f aca="true" t="shared" si="48" ref="J141:J150">G141+H141-I141</f>
        <v>0</v>
      </c>
      <c r="K141" s="1332">
        <f aca="true" t="shared" si="49" ref="K141:K150">C141+G141</f>
        <v>5000</v>
      </c>
      <c r="L141" s="1333">
        <f aca="true" t="shared" si="50" ref="L141:L150">F141+J141</f>
        <v>3300</v>
      </c>
    </row>
    <row r="142" spans="1:12" ht="27.75" customHeight="1">
      <c r="A142" s="105">
        <v>722436</v>
      </c>
      <c r="B142" s="122" t="s">
        <v>277</v>
      </c>
      <c r="C142" s="1248">
        <v>0</v>
      </c>
      <c r="D142" s="1248"/>
      <c r="E142" s="1248"/>
      <c r="F142" s="991">
        <f t="shared" si="47"/>
        <v>0</v>
      </c>
      <c r="G142" s="1248">
        <v>75000</v>
      </c>
      <c r="H142" s="1248"/>
      <c r="I142" s="1248"/>
      <c r="J142" s="991">
        <f t="shared" si="48"/>
        <v>75000</v>
      </c>
      <c r="K142" s="1248">
        <f t="shared" si="49"/>
        <v>75000</v>
      </c>
      <c r="L142" s="991">
        <f t="shared" si="50"/>
        <v>75000</v>
      </c>
    </row>
    <row r="143" spans="1:12" ht="46.5" customHeight="1">
      <c r="A143" s="1391">
        <v>722441</v>
      </c>
      <c r="B143" s="1414" t="s">
        <v>1023</v>
      </c>
      <c r="C143" s="1397">
        <v>700000</v>
      </c>
      <c r="D143" s="1397"/>
      <c r="E143" s="1397">
        <v>300000</v>
      </c>
      <c r="F143" s="1398">
        <f t="shared" si="47"/>
        <v>400000</v>
      </c>
      <c r="G143" s="1397">
        <v>0</v>
      </c>
      <c r="H143" s="1397"/>
      <c r="I143" s="1397"/>
      <c r="J143" s="1398">
        <f t="shared" si="48"/>
        <v>0</v>
      </c>
      <c r="K143" s="1397">
        <f t="shared" si="49"/>
        <v>700000</v>
      </c>
      <c r="L143" s="1398">
        <f t="shared" si="50"/>
        <v>400000</v>
      </c>
    </row>
    <row r="144" spans="1:12" ht="49.5" customHeight="1">
      <c r="A144" s="133">
        <v>722443</v>
      </c>
      <c r="B144" s="147" t="s">
        <v>318</v>
      </c>
      <c r="C144" s="1248">
        <v>5000</v>
      </c>
      <c r="D144" s="1248"/>
      <c r="E144" s="1248"/>
      <c r="F144" s="991">
        <f t="shared" si="47"/>
        <v>5000</v>
      </c>
      <c r="G144" s="1248">
        <v>0</v>
      </c>
      <c r="H144" s="1248"/>
      <c r="I144" s="1248"/>
      <c r="J144" s="991">
        <f t="shared" si="48"/>
        <v>0</v>
      </c>
      <c r="K144" s="1248">
        <f t="shared" si="49"/>
        <v>5000</v>
      </c>
      <c r="L144" s="991">
        <f t="shared" si="50"/>
        <v>5000</v>
      </c>
    </row>
    <row r="145" spans="1:12" ht="29.25" customHeight="1">
      <c r="A145" s="1400">
        <v>722449</v>
      </c>
      <c r="B145" s="1396" t="s">
        <v>279</v>
      </c>
      <c r="C145" s="1332">
        <v>76000</v>
      </c>
      <c r="D145" s="1332"/>
      <c r="E145" s="1332">
        <v>16000</v>
      </c>
      <c r="F145" s="1333">
        <f t="shared" si="47"/>
        <v>60000</v>
      </c>
      <c r="G145" s="1332">
        <v>0</v>
      </c>
      <c r="H145" s="1332"/>
      <c r="I145" s="1332"/>
      <c r="J145" s="1333">
        <f t="shared" si="48"/>
        <v>0</v>
      </c>
      <c r="K145" s="1332">
        <f t="shared" si="49"/>
        <v>76000</v>
      </c>
      <c r="L145" s="1333">
        <f t="shared" si="50"/>
        <v>60000</v>
      </c>
    </row>
    <row r="146" spans="1:12" ht="27.75" customHeight="1">
      <c r="A146" s="1391">
        <v>722461</v>
      </c>
      <c r="B146" s="1392" t="s">
        <v>308</v>
      </c>
      <c r="C146" s="1332">
        <v>200000</v>
      </c>
      <c r="D146" s="1332"/>
      <c r="E146" s="1332">
        <v>50000</v>
      </c>
      <c r="F146" s="1333">
        <f t="shared" si="47"/>
        <v>150000</v>
      </c>
      <c r="G146" s="1332">
        <v>0</v>
      </c>
      <c r="H146" s="1332"/>
      <c r="I146" s="1332"/>
      <c r="J146" s="1333">
        <f t="shared" si="48"/>
        <v>0</v>
      </c>
      <c r="K146" s="1332">
        <f t="shared" si="49"/>
        <v>200000</v>
      </c>
      <c r="L146" s="1333">
        <f t="shared" si="50"/>
        <v>150000</v>
      </c>
    </row>
    <row r="147" spans="1:12" ht="27.75" customHeight="1">
      <c r="A147" s="1393">
        <v>722463</v>
      </c>
      <c r="B147" s="1394" t="s">
        <v>332</v>
      </c>
      <c r="C147" s="1332">
        <v>124000</v>
      </c>
      <c r="D147" s="1332"/>
      <c r="E147" s="1332">
        <v>45000</v>
      </c>
      <c r="F147" s="1333">
        <f t="shared" si="47"/>
        <v>79000</v>
      </c>
      <c r="G147" s="1332">
        <v>0</v>
      </c>
      <c r="H147" s="1332"/>
      <c r="I147" s="1332"/>
      <c r="J147" s="1333">
        <f t="shared" si="48"/>
        <v>0</v>
      </c>
      <c r="K147" s="1332">
        <f t="shared" si="49"/>
        <v>124000</v>
      </c>
      <c r="L147" s="1333">
        <f t="shared" si="50"/>
        <v>79000</v>
      </c>
    </row>
    <row r="148" spans="1:12" ht="45.75" customHeight="1">
      <c r="A148" s="101">
        <v>722464</v>
      </c>
      <c r="B148" s="104" t="s">
        <v>547</v>
      </c>
      <c r="C148" s="1248">
        <v>5000</v>
      </c>
      <c r="D148" s="1248"/>
      <c r="E148" s="1248"/>
      <c r="F148" s="991">
        <f t="shared" si="47"/>
        <v>5000</v>
      </c>
      <c r="G148" s="1248">
        <v>0</v>
      </c>
      <c r="H148" s="1248"/>
      <c r="I148" s="1248"/>
      <c r="J148" s="991">
        <f t="shared" si="48"/>
        <v>0</v>
      </c>
      <c r="K148" s="1248">
        <f t="shared" si="49"/>
        <v>5000</v>
      </c>
      <c r="L148" s="991">
        <f t="shared" si="50"/>
        <v>5000</v>
      </c>
    </row>
    <row r="149" spans="1:12" ht="27.75" customHeight="1">
      <c r="A149" s="1393">
        <v>722465</v>
      </c>
      <c r="B149" s="1394" t="s">
        <v>333</v>
      </c>
      <c r="C149" s="1332">
        <v>120000</v>
      </c>
      <c r="D149" s="1332"/>
      <c r="E149" s="1332">
        <v>60000</v>
      </c>
      <c r="F149" s="1333">
        <f t="shared" si="47"/>
        <v>60000</v>
      </c>
      <c r="G149" s="1332">
        <v>0</v>
      </c>
      <c r="H149" s="1332"/>
      <c r="I149" s="1332"/>
      <c r="J149" s="1333">
        <f t="shared" si="48"/>
        <v>0</v>
      </c>
      <c r="K149" s="1332">
        <f t="shared" si="49"/>
        <v>120000</v>
      </c>
      <c r="L149" s="1333">
        <f t="shared" si="50"/>
        <v>60000</v>
      </c>
    </row>
    <row r="150" spans="1:12" ht="27.75" customHeight="1">
      <c r="A150" s="101">
        <v>722474</v>
      </c>
      <c r="B150" s="113" t="s">
        <v>89</v>
      </c>
      <c r="C150" s="1248">
        <v>10000</v>
      </c>
      <c r="D150" s="1248"/>
      <c r="E150" s="1248"/>
      <c r="F150" s="991">
        <f>C150+D150-E150</f>
        <v>10000</v>
      </c>
      <c r="G150" s="1248">
        <v>0</v>
      </c>
      <c r="H150" s="1248"/>
      <c r="I150" s="1248"/>
      <c r="J150" s="991">
        <f t="shared" si="48"/>
        <v>0</v>
      </c>
      <c r="K150" s="1248">
        <f t="shared" si="49"/>
        <v>10000</v>
      </c>
      <c r="L150" s="991">
        <f t="shared" si="50"/>
        <v>10000</v>
      </c>
    </row>
    <row r="151" spans="1:12" s="145" customFormat="1" ht="30" customHeight="1" thickBot="1">
      <c r="A151" s="160"/>
      <c r="B151" s="153" t="s">
        <v>409</v>
      </c>
      <c r="C151" s="1246">
        <f>SUM(C141:C150)</f>
        <v>1245000</v>
      </c>
      <c r="D151" s="1246">
        <f aca="true" t="shared" si="51" ref="D151:L151">SUM(D141:D150)</f>
        <v>0</v>
      </c>
      <c r="E151" s="1246">
        <f t="shared" si="51"/>
        <v>472700</v>
      </c>
      <c r="F151" s="1246">
        <f t="shared" si="51"/>
        <v>772300</v>
      </c>
      <c r="G151" s="1246">
        <f t="shared" si="51"/>
        <v>75000</v>
      </c>
      <c r="H151" s="1246">
        <f t="shared" si="51"/>
        <v>0</v>
      </c>
      <c r="I151" s="1246">
        <f t="shared" si="51"/>
        <v>0</v>
      </c>
      <c r="J151" s="1246">
        <f t="shared" si="51"/>
        <v>75000</v>
      </c>
      <c r="K151" s="1246">
        <f t="shared" si="51"/>
        <v>1320000</v>
      </c>
      <c r="L151" s="1246">
        <f t="shared" si="51"/>
        <v>847300</v>
      </c>
    </row>
    <row r="152" spans="1:12" ht="20.25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</row>
    <row r="153" spans="1:12" ht="21" thickBo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</row>
    <row r="154" spans="1:12" ht="261" customHeight="1">
      <c r="A154" s="92" t="s">
        <v>323</v>
      </c>
      <c r="B154" s="93" t="s">
        <v>342</v>
      </c>
      <c r="C154" s="813" t="s">
        <v>1124</v>
      </c>
      <c r="D154" s="813" t="s">
        <v>1332</v>
      </c>
      <c r="E154" s="813" t="s">
        <v>1333</v>
      </c>
      <c r="F154" s="813" t="s">
        <v>1334</v>
      </c>
      <c r="G154" s="813" t="s">
        <v>1184</v>
      </c>
      <c r="H154" s="813" t="s">
        <v>1335</v>
      </c>
      <c r="I154" s="813" t="s">
        <v>1336</v>
      </c>
      <c r="J154" s="813" t="s">
        <v>1337</v>
      </c>
      <c r="K154" s="813" t="s">
        <v>1125</v>
      </c>
      <c r="L154" s="813" t="s">
        <v>1331</v>
      </c>
    </row>
    <row r="155" spans="1:12" ht="20.25">
      <c r="A155" s="94">
        <v>0</v>
      </c>
      <c r="B155" s="95">
        <v>1</v>
      </c>
      <c r="C155" s="1241">
        <v>2</v>
      </c>
      <c r="D155" s="1241">
        <v>3</v>
      </c>
      <c r="E155" s="1241">
        <v>4</v>
      </c>
      <c r="F155" s="1241">
        <v>5</v>
      </c>
      <c r="G155" s="1241">
        <v>6</v>
      </c>
      <c r="H155" s="1241">
        <v>7</v>
      </c>
      <c r="I155" s="1241">
        <v>8</v>
      </c>
      <c r="J155" s="1241">
        <v>9</v>
      </c>
      <c r="K155" s="1241">
        <v>10</v>
      </c>
      <c r="L155" s="990">
        <v>11</v>
      </c>
    </row>
    <row r="156" spans="1:12" ht="15" customHeight="1">
      <c r="A156" s="1518">
        <v>722500</v>
      </c>
      <c r="B156" s="1522" t="s">
        <v>410</v>
      </c>
      <c r="C156" s="1251"/>
      <c r="D156" s="1251"/>
      <c r="E156" s="1251"/>
      <c r="F156" s="1251"/>
      <c r="G156" s="1251"/>
      <c r="H156" s="1251"/>
      <c r="I156" s="1251"/>
      <c r="J156" s="1251"/>
      <c r="K156" s="1251"/>
      <c r="L156" s="1520"/>
    </row>
    <row r="157" spans="1:12" ht="16.5" customHeight="1">
      <c r="A157" s="1519"/>
      <c r="B157" s="1523"/>
      <c r="C157" s="1252"/>
      <c r="D157" s="1252"/>
      <c r="E157" s="1252"/>
      <c r="F157" s="1252"/>
      <c r="G157" s="1252"/>
      <c r="H157" s="1252"/>
      <c r="I157" s="1252"/>
      <c r="J157" s="1252"/>
      <c r="K157" s="1252"/>
      <c r="L157" s="1521"/>
    </row>
    <row r="158" spans="1:12" ht="27" customHeight="1">
      <c r="A158" s="1408">
        <v>722515</v>
      </c>
      <c r="B158" s="1409" t="s">
        <v>91</v>
      </c>
      <c r="C158" s="1332">
        <v>40000</v>
      </c>
      <c r="D158" s="1332"/>
      <c r="E158" s="1332">
        <v>12000</v>
      </c>
      <c r="F158" s="1333">
        <f aca="true" t="shared" si="52" ref="F158:F165">C158+D158-E158</f>
        <v>28000</v>
      </c>
      <c r="G158" s="1332">
        <v>0</v>
      </c>
      <c r="H158" s="1332"/>
      <c r="I158" s="1332"/>
      <c r="J158" s="1333">
        <f aca="true" t="shared" si="53" ref="J158:J165">G158+H158-I158</f>
        <v>0</v>
      </c>
      <c r="K158" s="1332">
        <f aca="true" t="shared" si="54" ref="K158:K165">C158+G158</f>
        <v>40000</v>
      </c>
      <c r="L158" s="1333">
        <f aca="true" t="shared" si="55" ref="L158:L165">F158+J158</f>
        <v>28000</v>
      </c>
    </row>
    <row r="159" spans="1:12" ht="27" customHeight="1">
      <c r="A159" s="105">
        <v>722516</v>
      </c>
      <c r="B159" s="132" t="s">
        <v>159</v>
      </c>
      <c r="C159" s="1248">
        <v>255000</v>
      </c>
      <c r="D159" s="1248"/>
      <c r="E159" s="1248"/>
      <c r="F159" s="991">
        <f t="shared" si="52"/>
        <v>255000</v>
      </c>
      <c r="G159" s="1248">
        <v>0</v>
      </c>
      <c r="H159" s="1248"/>
      <c r="I159" s="1248"/>
      <c r="J159" s="991">
        <f t="shared" si="53"/>
        <v>0</v>
      </c>
      <c r="K159" s="1248">
        <f t="shared" si="54"/>
        <v>255000</v>
      </c>
      <c r="L159" s="991">
        <f t="shared" si="55"/>
        <v>255000</v>
      </c>
    </row>
    <row r="160" spans="1:12" ht="27" customHeight="1">
      <c r="A160" s="1400">
        <v>722531</v>
      </c>
      <c r="B160" s="1401" t="s">
        <v>411</v>
      </c>
      <c r="C160" s="1332">
        <v>360000</v>
      </c>
      <c r="D160" s="1332"/>
      <c r="E160" s="1332">
        <v>57000</v>
      </c>
      <c r="F160" s="1333">
        <f t="shared" si="52"/>
        <v>303000</v>
      </c>
      <c r="G160" s="1332">
        <v>0</v>
      </c>
      <c r="H160" s="1332"/>
      <c r="I160" s="1332"/>
      <c r="J160" s="1333">
        <f t="shared" si="53"/>
        <v>0</v>
      </c>
      <c r="K160" s="1332">
        <f t="shared" si="54"/>
        <v>360000</v>
      </c>
      <c r="L160" s="1333">
        <f t="shared" si="55"/>
        <v>303000</v>
      </c>
    </row>
    <row r="161" spans="1:12" ht="27" customHeight="1">
      <c r="A161" s="1334">
        <v>722532</v>
      </c>
      <c r="B161" s="1335" t="s">
        <v>412</v>
      </c>
      <c r="C161" s="1332">
        <v>560000</v>
      </c>
      <c r="D161" s="1332"/>
      <c r="E161" s="1332">
        <v>22000</v>
      </c>
      <c r="F161" s="1333">
        <f t="shared" si="52"/>
        <v>538000</v>
      </c>
      <c r="G161" s="1332">
        <v>0</v>
      </c>
      <c r="H161" s="1332"/>
      <c r="I161" s="1332"/>
      <c r="J161" s="1333">
        <f t="shared" si="53"/>
        <v>0</v>
      </c>
      <c r="K161" s="1332">
        <f t="shared" si="54"/>
        <v>560000</v>
      </c>
      <c r="L161" s="1333">
        <f t="shared" si="55"/>
        <v>538000</v>
      </c>
    </row>
    <row r="162" spans="1:12" ht="27" customHeight="1">
      <c r="A162" s="121">
        <v>722535</v>
      </c>
      <c r="B162" s="1060" t="s">
        <v>1064</v>
      </c>
      <c r="C162" s="1248">
        <v>0</v>
      </c>
      <c r="D162" s="1248"/>
      <c r="E162" s="1248"/>
      <c r="F162" s="991">
        <f t="shared" si="52"/>
        <v>0</v>
      </c>
      <c r="G162" s="1248">
        <v>0</v>
      </c>
      <c r="H162" s="1248"/>
      <c r="I162" s="1248"/>
      <c r="J162" s="991">
        <f t="shared" si="53"/>
        <v>0</v>
      </c>
      <c r="K162" s="1248">
        <f t="shared" si="54"/>
        <v>0</v>
      </c>
      <c r="L162" s="991">
        <f t="shared" si="55"/>
        <v>0</v>
      </c>
    </row>
    <row r="163" spans="1:12" ht="27" customHeight="1">
      <c r="A163" s="1334">
        <v>722538</v>
      </c>
      <c r="B163" s="1335" t="s">
        <v>829</v>
      </c>
      <c r="C163" s="1332">
        <v>10000</v>
      </c>
      <c r="D163" s="1332">
        <v>22000</v>
      </c>
      <c r="E163" s="1332"/>
      <c r="F163" s="1333">
        <f t="shared" si="52"/>
        <v>32000</v>
      </c>
      <c r="G163" s="1332">
        <v>0</v>
      </c>
      <c r="H163" s="1332"/>
      <c r="I163" s="1332"/>
      <c r="J163" s="1333">
        <f t="shared" si="53"/>
        <v>0</v>
      </c>
      <c r="K163" s="1332">
        <f t="shared" si="54"/>
        <v>10000</v>
      </c>
      <c r="L163" s="1333">
        <f t="shared" si="55"/>
        <v>32000</v>
      </c>
    </row>
    <row r="164" spans="1:12" ht="47.25" customHeight="1">
      <c r="A164" s="146">
        <v>722583</v>
      </c>
      <c r="B164" s="952" t="s">
        <v>952</v>
      </c>
      <c r="C164" s="1249">
        <v>0</v>
      </c>
      <c r="D164" s="1249"/>
      <c r="E164" s="1249"/>
      <c r="F164" s="991">
        <f t="shared" si="52"/>
        <v>0</v>
      </c>
      <c r="G164" s="1249">
        <v>0</v>
      </c>
      <c r="H164" s="1249"/>
      <c r="I164" s="1249"/>
      <c r="J164" s="991">
        <f t="shared" si="53"/>
        <v>0</v>
      </c>
      <c r="K164" s="1249">
        <f t="shared" si="54"/>
        <v>0</v>
      </c>
      <c r="L164" s="991">
        <f t="shared" si="55"/>
        <v>0</v>
      </c>
    </row>
    <row r="165" spans="1:12" ht="51.75" customHeight="1">
      <c r="A165" s="146">
        <v>722584</v>
      </c>
      <c r="B165" s="147" t="s">
        <v>335</v>
      </c>
      <c r="C165" s="1249">
        <v>0</v>
      </c>
      <c r="D165" s="1249"/>
      <c r="E165" s="1249"/>
      <c r="F165" s="991">
        <f t="shared" si="52"/>
        <v>0</v>
      </c>
      <c r="G165" s="1249">
        <v>0</v>
      </c>
      <c r="H165" s="1249"/>
      <c r="I165" s="1249"/>
      <c r="J165" s="991">
        <f t="shared" si="53"/>
        <v>0</v>
      </c>
      <c r="K165" s="1249">
        <f t="shared" si="54"/>
        <v>0</v>
      </c>
      <c r="L165" s="991">
        <f t="shared" si="55"/>
        <v>0</v>
      </c>
    </row>
    <row r="166" spans="1:12" s="145" customFormat="1" ht="29.25" customHeight="1">
      <c r="A166" s="118"/>
      <c r="B166" s="119" t="s">
        <v>413</v>
      </c>
      <c r="C166" s="1243">
        <f>SUM(C158:C165)</f>
        <v>1225000</v>
      </c>
      <c r="D166" s="1243">
        <f aca="true" t="shared" si="56" ref="D166:L166">SUM(D158:D165)</f>
        <v>22000</v>
      </c>
      <c r="E166" s="1243">
        <f t="shared" si="56"/>
        <v>91000</v>
      </c>
      <c r="F166" s="1243">
        <f t="shared" si="56"/>
        <v>1156000</v>
      </c>
      <c r="G166" s="1243">
        <f t="shared" si="56"/>
        <v>0</v>
      </c>
      <c r="H166" s="1243">
        <f t="shared" si="56"/>
        <v>0</v>
      </c>
      <c r="I166" s="1243">
        <f t="shared" si="56"/>
        <v>0</v>
      </c>
      <c r="J166" s="1243">
        <f t="shared" si="56"/>
        <v>0</v>
      </c>
      <c r="K166" s="1243">
        <f t="shared" si="56"/>
        <v>1225000</v>
      </c>
      <c r="L166" s="1243">
        <f t="shared" si="56"/>
        <v>1156000</v>
      </c>
    </row>
    <row r="167" spans="1:12" ht="52.5" customHeight="1">
      <c r="A167" s="110">
        <v>722600</v>
      </c>
      <c r="B167" s="1147" t="s">
        <v>414</v>
      </c>
      <c r="C167" s="1242"/>
      <c r="D167" s="1242"/>
      <c r="E167" s="1242"/>
      <c r="F167" s="1242"/>
      <c r="G167" s="1242"/>
      <c r="H167" s="1242"/>
      <c r="I167" s="1242"/>
      <c r="J167" s="112"/>
      <c r="K167" s="1242"/>
      <c r="L167" s="867"/>
    </row>
    <row r="168" spans="1:12" ht="27" customHeight="1">
      <c r="A168" s="121">
        <v>722611</v>
      </c>
      <c r="B168" s="150" t="s">
        <v>606</v>
      </c>
      <c r="C168" s="1248">
        <v>5000</v>
      </c>
      <c r="D168" s="1248"/>
      <c r="E168" s="1248"/>
      <c r="F168" s="991">
        <f>C168+D168-E168</f>
        <v>5000</v>
      </c>
      <c r="G168" s="1248">
        <v>0</v>
      </c>
      <c r="H168" s="1248"/>
      <c r="I168" s="1248"/>
      <c r="J168" s="991">
        <f>G168+H168-I168</f>
        <v>0</v>
      </c>
      <c r="K168" s="1248">
        <f>C168+G168</f>
        <v>5000</v>
      </c>
      <c r="L168" s="991">
        <f>F168+J168</f>
        <v>5000</v>
      </c>
    </row>
    <row r="169" spans="1:12" ht="27" customHeight="1">
      <c r="A169" s="1391">
        <v>722612</v>
      </c>
      <c r="B169" s="1399" t="s">
        <v>607</v>
      </c>
      <c r="C169" s="1332">
        <v>2000</v>
      </c>
      <c r="D169" s="1332">
        <v>3000</v>
      </c>
      <c r="E169" s="1332"/>
      <c r="F169" s="1333">
        <f>C169+D169-E169</f>
        <v>5000</v>
      </c>
      <c r="G169" s="1332">
        <v>0</v>
      </c>
      <c r="H169" s="1332"/>
      <c r="I169" s="1332"/>
      <c r="J169" s="1333">
        <f>G169+H169-I169</f>
        <v>0</v>
      </c>
      <c r="K169" s="1332">
        <f>C169+G169</f>
        <v>2000</v>
      </c>
      <c r="L169" s="1333">
        <f>F169+J169</f>
        <v>5000</v>
      </c>
    </row>
    <row r="170" spans="1:12" s="145" customFormat="1" ht="30" customHeight="1">
      <c r="A170" s="151"/>
      <c r="B170" s="158" t="s">
        <v>415</v>
      </c>
      <c r="C170" s="1243">
        <f>SUM(C168:C169)</f>
        <v>7000</v>
      </c>
      <c r="D170" s="1243">
        <f aca="true" t="shared" si="57" ref="D170:L170">SUM(D168:D169)</f>
        <v>3000</v>
      </c>
      <c r="E170" s="1243">
        <f t="shared" si="57"/>
        <v>0</v>
      </c>
      <c r="F170" s="1243">
        <f t="shared" si="57"/>
        <v>10000</v>
      </c>
      <c r="G170" s="1243">
        <f t="shared" si="57"/>
        <v>0</v>
      </c>
      <c r="H170" s="1243">
        <f t="shared" si="57"/>
        <v>0</v>
      </c>
      <c r="I170" s="1243">
        <f t="shared" si="57"/>
        <v>0</v>
      </c>
      <c r="J170" s="1243">
        <f t="shared" si="57"/>
        <v>0</v>
      </c>
      <c r="K170" s="1243">
        <f t="shared" si="57"/>
        <v>7000</v>
      </c>
      <c r="L170" s="1243">
        <f t="shared" si="57"/>
        <v>10000</v>
      </c>
    </row>
    <row r="171" spans="1:12" ht="25.5" customHeight="1">
      <c r="A171" s="110">
        <v>722700</v>
      </c>
      <c r="B171" s="98" t="s">
        <v>416</v>
      </c>
      <c r="C171" s="1242"/>
      <c r="D171" s="1242"/>
      <c r="E171" s="1242"/>
      <c r="F171" s="1242"/>
      <c r="G171" s="1242"/>
      <c r="H171" s="1242"/>
      <c r="I171" s="1242"/>
      <c r="J171" s="1242"/>
      <c r="K171" s="1242"/>
      <c r="L171" s="864"/>
    </row>
    <row r="172" spans="1:12" s="161" customFormat="1" ht="25.5" customHeight="1">
      <c r="A172" s="1395">
        <v>722719</v>
      </c>
      <c r="B172" s="1415" t="s">
        <v>571</v>
      </c>
      <c r="C172" s="1332">
        <v>15000</v>
      </c>
      <c r="D172" s="1332">
        <v>40000</v>
      </c>
      <c r="E172" s="1332"/>
      <c r="F172" s="1333">
        <f aca="true" t="shared" si="58" ref="F172:F177">C172+D172-E172</f>
        <v>55000</v>
      </c>
      <c r="G172" s="1332">
        <v>0</v>
      </c>
      <c r="H172" s="1332"/>
      <c r="I172" s="1332"/>
      <c r="J172" s="1333">
        <f aca="true" t="shared" si="59" ref="J172:J177">G172+H172-I172</f>
        <v>0</v>
      </c>
      <c r="K172" s="1332">
        <f aca="true" t="shared" si="60" ref="K172:K177">C172+G172</f>
        <v>15000</v>
      </c>
      <c r="L172" s="1333">
        <f aca="true" t="shared" si="61" ref="L172:L177">F172+J172</f>
        <v>55000</v>
      </c>
    </row>
    <row r="173" spans="1:12" ht="27.75" customHeight="1">
      <c r="A173" s="121">
        <v>722721</v>
      </c>
      <c r="B173" s="122" t="s">
        <v>417</v>
      </c>
      <c r="C173" s="1248">
        <v>1000</v>
      </c>
      <c r="D173" s="1248"/>
      <c r="E173" s="1248"/>
      <c r="F173" s="991">
        <f t="shared" si="58"/>
        <v>1000</v>
      </c>
      <c r="G173" s="1248">
        <v>0</v>
      </c>
      <c r="H173" s="1248"/>
      <c r="I173" s="1248"/>
      <c r="J173" s="991">
        <f t="shared" si="59"/>
        <v>0</v>
      </c>
      <c r="K173" s="1248">
        <f t="shared" si="60"/>
        <v>1000</v>
      </c>
      <c r="L173" s="991">
        <f t="shared" si="61"/>
        <v>1000</v>
      </c>
    </row>
    <row r="174" spans="1:12" ht="45" customHeight="1">
      <c r="A174" s="1400">
        <v>722732</v>
      </c>
      <c r="B174" s="1416" t="s">
        <v>101</v>
      </c>
      <c r="C174" s="1332">
        <v>20000</v>
      </c>
      <c r="D174" s="1332"/>
      <c r="E174" s="1332">
        <v>10000</v>
      </c>
      <c r="F174" s="1333">
        <f t="shared" si="58"/>
        <v>10000</v>
      </c>
      <c r="G174" s="1332">
        <v>0</v>
      </c>
      <c r="H174" s="1332"/>
      <c r="I174" s="1332"/>
      <c r="J174" s="1333">
        <f t="shared" si="59"/>
        <v>0</v>
      </c>
      <c r="K174" s="1332">
        <f t="shared" si="60"/>
        <v>20000</v>
      </c>
      <c r="L174" s="1333">
        <f t="shared" si="61"/>
        <v>10000</v>
      </c>
    </row>
    <row r="175" spans="1:12" ht="27.75" customHeight="1">
      <c r="A175" s="105">
        <v>722741</v>
      </c>
      <c r="B175" s="132" t="s">
        <v>420</v>
      </c>
      <c r="C175" s="1248">
        <v>1000</v>
      </c>
      <c r="D175" s="1248"/>
      <c r="E175" s="1248"/>
      <c r="F175" s="991">
        <f t="shared" si="58"/>
        <v>1000</v>
      </c>
      <c r="G175" s="1248">
        <v>0</v>
      </c>
      <c r="H175" s="1248"/>
      <c r="I175" s="1248"/>
      <c r="J175" s="991">
        <f t="shared" si="59"/>
        <v>0</v>
      </c>
      <c r="K175" s="1248">
        <f t="shared" si="60"/>
        <v>1000</v>
      </c>
      <c r="L175" s="991">
        <f t="shared" si="61"/>
        <v>1000</v>
      </c>
    </row>
    <row r="176" spans="1:12" ht="27.75" customHeight="1">
      <c r="A176" s="121">
        <v>722761</v>
      </c>
      <c r="B176" s="150" t="s">
        <v>380</v>
      </c>
      <c r="C176" s="1248">
        <v>150000</v>
      </c>
      <c r="D176" s="1248"/>
      <c r="E176" s="1248"/>
      <c r="F176" s="991">
        <f t="shared" si="58"/>
        <v>150000</v>
      </c>
      <c r="G176" s="1248">
        <v>0</v>
      </c>
      <c r="H176" s="1248"/>
      <c r="I176" s="1248"/>
      <c r="J176" s="991">
        <f t="shared" si="59"/>
        <v>0</v>
      </c>
      <c r="K176" s="1248">
        <f t="shared" si="60"/>
        <v>150000</v>
      </c>
      <c r="L176" s="991">
        <f t="shared" si="61"/>
        <v>150000</v>
      </c>
    </row>
    <row r="177" spans="1:12" ht="27.75" customHeight="1">
      <c r="A177" s="121">
        <v>722791</v>
      </c>
      <c r="B177" s="150" t="s">
        <v>610</v>
      </c>
      <c r="C177" s="1248">
        <v>225000</v>
      </c>
      <c r="D177" s="1248"/>
      <c r="E177" s="1248"/>
      <c r="F177" s="991">
        <f t="shared" si="58"/>
        <v>225000</v>
      </c>
      <c r="G177" s="1248">
        <v>0</v>
      </c>
      <c r="H177" s="1248"/>
      <c r="I177" s="1248"/>
      <c r="J177" s="991">
        <f t="shared" si="59"/>
        <v>0</v>
      </c>
      <c r="K177" s="1248">
        <f t="shared" si="60"/>
        <v>225000</v>
      </c>
      <c r="L177" s="991">
        <f t="shared" si="61"/>
        <v>225000</v>
      </c>
    </row>
    <row r="178" spans="1:12" s="145" customFormat="1" ht="30.75" customHeight="1">
      <c r="A178" s="151"/>
      <c r="B178" s="109" t="s">
        <v>421</v>
      </c>
      <c r="C178" s="1243">
        <f>SUM(C172:C177)</f>
        <v>412000</v>
      </c>
      <c r="D178" s="1243">
        <f aca="true" t="shared" si="62" ref="D178:L178">SUM(D172:D177)</f>
        <v>40000</v>
      </c>
      <c r="E178" s="1243">
        <f t="shared" si="62"/>
        <v>10000</v>
      </c>
      <c r="F178" s="1243">
        <f t="shared" si="62"/>
        <v>442000</v>
      </c>
      <c r="G178" s="1243">
        <f t="shared" si="62"/>
        <v>0</v>
      </c>
      <c r="H178" s="1243">
        <f t="shared" si="62"/>
        <v>0</v>
      </c>
      <c r="I178" s="1243">
        <f t="shared" si="62"/>
        <v>0</v>
      </c>
      <c r="J178" s="1243">
        <f t="shared" si="62"/>
        <v>0</v>
      </c>
      <c r="K178" s="1243">
        <f t="shared" si="62"/>
        <v>412000</v>
      </c>
      <c r="L178" s="1243">
        <f t="shared" si="62"/>
        <v>442000</v>
      </c>
    </row>
    <row r="179" spans="1:12" s="135" customFormat="1" ht="45.75" customHeight="1">
      <c r="A179" s="110">
        <v>723100</v>
      </c>
      <c r="B179" s="116" t="s">
        <v>422</v>
      </c>
      <c r="C179" s="1257"/>
      <c r="D179" s="1257"/>
      <c r="E179" s="1257"/>
      <c r="F179" s="1257"/>
      <c r="G179" s="1257"/>
      <c r="H179" s="1257"/>
      <c r="I179" s="1257"/>
      <c r="J179" s="1257"/>
      <c r="K179" s="1257"/>
      <c r="L179" s="996"/>
    </row>
    <row r="180" spans="1:12" s="135" customFormat="1" ht="30" customHeight="1">
      <c r="A180" s="865">
        <v>721131</v>
      </c>
      <c r="B180" s="1089" t="s">
        <v>1065</v>
      </c>
      <c r="C180" s="1258">
        <v>0</v>
      </c>
      <c r="D180" s="1258"/>
      <c r="E180" s="1258"/>
      <c r="F180" s="991">
        <f>C180+D180-E180</f>
        <v>0</v>
      </c>
      <c r="G180" s="1258">
        <v>0</v>
      </c>
      <c r="H180" s="1258"/>
      <c r="I180" s="1258"/>
      <c r="J180" s="991">
        <f>G180+H180-I180</f>
        <v>0</v>
      </c>
      <c r="K180" s="1248">
        <f>C180+G180</f>
        <v>0</v>
      </c>
      <c r="L180" s="991">
        <f>F180+J180</f>
        <v>0</v>
      </c>
    </row>
    <row r="181" spans="1:12" s="135" customFormat="1" ht="33" customHeight="1">
      <c r="A181" s="1092">
        <v>723132</v>
      </c>
      <c r="B181" s="1093" t="s">
        <v>1066</v>
      </c>
      <c r="C181" s="1259">
        <v>0</v>
      </c>
      <c r="D181" s="1259"/>
      <c r="E181" s="1259"/>
      <c r="F181" s="991">
        <f>C181+D181-E181</f>
        <v>0</v>
      </c>
      <c r="G181" s="1259">
        <v>0</v>
      </c>
      <c r="H181" s="1259"/>
      <c r="I181" s="1259"/>
      <c r="J181" s="991">
        <f>G181+H181-I181</f>
        <v>0</v>
      </c>
      <c r="K181" s="1248">
        <f>C181+G181</f>
        <v>0</v>
      </c>
      <c r="L181" s="991">
        <f>F181+J181</f>
        <v>0</v>
      </c>
    </row>
    <row r="182" spans="1:12" ht="52.5" customHeight="1">
      <c r="A182" s="1395">
        <v>723133</v>
      </c>
      <c r="B182" s="1399" t="s">
        <v>591</v>
      </c>
      <c r="C182" s="1397">
        <v>50000</v>
      </c>
      <c r="D182" s="1397"/>
      <c r="E182" s="1397">
        <v>20000</v>
      </c>
      <c r="F182" s="1398">
        <f>C182+D182-E182</f>
        <v>30000</v>
      </c>
      <c r="G182" s="1397">
        <v>0</v>
      </c>
      <c r="H182" s="1397"/>
      <c r="I182" s="1397"/>
      <c r="J182" s="1398">
        <f>G182+H182-I182</f>
        <v>0</v>
      </c>
      <c r="K182" s="1397">
        <f>C182+G182</f>
        <v>50000</v>
      </c>
      <c r="L182" s="1398">
        <f>F182+J182</f>
        <v>30000</v>
      </c>
    </row>
    <row r="183" spans="1:12" s="159" customFormat="1" ht="34.5" customHeight="1">
      <c r="A183" s="105"/>
      <c r="B183" s="109" t="s">
        <v>451</v>
      </c>
      <c r="C183" s="1243">
        <f>SUM(C180:C182)</f>
        <v>50000</v>
      </c>
      <c r="D183" s="1243">
        <f aca="true" t="shared" si="63" ref="D183:L183">SUM(D180:D182)</f>
        <v>0</v>
      </c>
      <c r="E183" s="1243">
        <f t="shared" si="63"/>
        <v>20000</v>
      </c>
      <c r="F183" s="1243">
        <f t="shared" si="63"/>
        <v>30000</v>
      </c>
      <c r="G183" s="1243">
        <f t="shared" si="63"/>
        <v>0</v>
      </c>
      <c r="H183" s="1243">
        <f t="shared" si="63"/>
        <v>0</v>
      </c>
      <c r="I183" s="1243">
        <f t="shared" si="63"/>
        <v>0</v>
      </c>
      <c r="J183" s="1243">
        <f t="shared" si="63"/>
        <v>0</v>
      </c>
      <c r="K183" s="1243">
        <f t="shared" si="63"/>
        <v>50000</v>
      </c>
      <c r="L183" s="1243">
        <f t="shared" si="63"/>
        <v>30000</v>
      </c>
    </row>
    <row r="184" spans="1:12" s="120" customFormat="1" ht="39" customHeight="1" thickBot="1">
      <c r="A184" s="152"/>
      <c r="B184" s="153" t="s">
        <v>452</v>
      </c>
      <c r="C184" s="1246">
        <f>SUM(C118,C123,C132,C139,C151,C166,C170,C178,C183,C135,)</f>
        <v>5673198</v>
      </c>
      <c r="D184" s="1246">
        <f aca="true" t="shared" si="64" ref="D184:L184">SUM(D118,D123,D132,D139,D151,D166,D170,D178,D183,D135,)</f>
        <v>805000</v>
      </c>
      <c r="E184" s="1246">
        <f t="shared" si="64"/>
        <v>1063700</v>
      </c>
      <c r="F184" s="1246">
        <f t="shared" si="64"/>
        <v>5414498</v>
      </c>
      <c r="G184" s="1246">
        <f t="shared" si="64"/>
        <v>75000</v>
      </c>
      <c r="H184" s="1246">
        <f t="shared" si="64"/>
        <v>0</v>
      </c>
      <c r="I184" s="1246">
        <f t="shared" si="64"/>
        <v>0</v>
      </c>
      <c r="J184" s="1246">
        <f t="shared" si="64"/>
        <v>75000</v>
      </c>
      <c r="K184" s="1246">
        <f t="shared" si="64"/>
        <v>5748198</v>
      </c>
      <c r="L184" s="1246">
        <f t="shared" si="64"/>
        <v>5489498</v>
      </c>
    </row>
    <row r="185" spans="1:12" ht="20.25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</row>
    <row r="186" spans="1:12" ht="21" thickBo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</row>
    <row r="187" spans="1:12" ht="261" customHeight="1">
      <c r="A187" s="92" t="s">
        <v>323</v>
      </c>
      <c r="B187" s="93" t="s">
        <v>342</v>
      </c>
      <c r="C187" s="813" t="s">
        <v>1124</v>
      </c>
      <c r="D187" s="813" t="s">
        <v>1332</v>
      </c>
      <c r="E187" s="813" t="s">
        <v>1333</v>
      </c>
      <c r="F187" s="813" t="s">
        <v>1334</v>
      </c>
      <c r="G187" s="813" t="s">
        <v>1184</v>
      </c>
      <c r="H187" s="813" t="s">
        <v>1335</v>
      </c>
      <c r="I187" s="813" t="s">
        <v>1336</v>
      </c>
      <c r="J187" s="813" t="s">
        <v>1337</v>
      </c>
      <c r="K187" s="813" t="s">
        <v>1125</v>
      </c>
      <c r="L187" s="813" t="s">
        <v>1331</v>
      </c>
    </row>
    <row r="188" spans="1:12" ht="20.25">
      <c r="A188" s="94">
        <v>0</v>
      </c>
      <c r="B188" s="95">
        <v>1</v>
      </c>
      <c r="C188" s="1241">
        <v>2</v>
      </c>
      <c r="D188" s="1241">
        <v>3</v>
      </c>
      <c r="E188" s="1241">
        <v>4</v>
      </c>
      <c r="F188" s="1241">
        <v>5</v>
      </c>
      <c r="G188" s="1241">
        <v>6</v>
      </c>
      <c r="H188" s="1241">
        <v>7</v>
      </c>
      <c r="I188" s="1241">
        <v>8</v>
      </c>
      <c r="J188" s="1241">
        <v>9</v>
      </c>
      <c r="K188" s="1241">
        <v>10</v>
      </c>
      <c r="L188" s="990">
        <v>11</v>
      </c>
    </row>
    <row r="189" spans="1:12" ht="12.75" customHeight="1">
      <c r="A189" s="1518">
        <v>730000</v>
      </c>
      <c r="B189" s="1522" t="s">
        <v>326</v>
      </c>
      <c r="C189" s="1251"/>
      <c r="D189" s="1251"/>
      <c r="E189" s="1251"/>
      <c r="F189" s="1251"/>
      <c r="G189" s="1251"/>
      <c r="H189" s="1251"/>
      <c r="I189" s="1251"/>
      <c r="J189" s="1251"/>
      <c r="K189" s="1251"/>
      <c r="L189" s="1520"/>
    </row>
    <row r="190" spans="1:12" ht="29.25" customHeight="1">
      <c r="A190" s="1519"/>
      <c r="B190" s="1523"/>
      <c r="C190" s="1252"/>
      <c r="D190" s="1252"/>
      <c r="E190" s="1252"/>
      <c r="F190" s="1252"/>
      <c r="G190" s="1252"/>
      <c r="H190" s="1252"/>
      <c r="I190" s="1252"/>
      <c r="J190" s="1252"/>
      <c r="K190" s="1252"/>
      <c r="L190" s="1521"/>
    </row>
    <row r="191" spans="1:12" ht="60.75" customHeight="1">
      <c r="A191" s="1144">
        <v>731100</v>
      </c>
      <c r="B191" s="849" t="s">
        <v>960</v>
      </c>
      <c r="C191" s="1252"/>
      <c r="D191" s="1252"/>
      <c r="E191" s="1252"/>
      <c r="F191" s="1252"/>
      <c r="G191" s="1252"/>
      <c r="H191" s="1252"/>
      <c r="I191" s="1252"/>
      <c r="J191" s="1252"/>
      <c r="K191" s="1252"/>
      <c r="L191" s="1146"/>
    </row>
    <row r="192" spans="1:12" ht="29.25" customHeight="1">
      <c r="A192" s="970">
        <v>731111</v>
      </c>
      <c r="B192" s="1331" t="s">
        <v>959</v>
      </c>
      <c r="C192" s="1332">
        <v>0</v>
      </c>
      <c r="D192" s="1332"/>
      <c r="E192" s="1332"/>
      <c r="F192" s="1333">
        <f>C192+D192-E192</f>
        <v>0</v>
      </c>
      <c r="G192" s="1332">
        <v>0</v>
      </c>
      <c r="H192" s="1332">
        <v>47600</v>
      </c>
      <c r="I192" s="1332"/>
      <c r="J192" s="1333">
        <f>G192+H192-I192</f>
        <v>47600</v>
      </c>
      <c r="K192" s="1332">
        <f>C192+G192</f>
        <v>0</v>
      </c>
      <c r="L192" s="1333">
        <f>F192+J192</f>
        <v>47600</v>
      </c>
    </row>
    <row r="193" spans="1:12" ht="29.25" customHeight="1">
      <c r="A193" s="1295">
        <v>731121</v>
      </c>
      <c r="B193" s="1091" t="s">
        <v>1388</v>
      </c>
      <c r="C193" s="1248">
        <v>0</v>
      </c>
      <c r="D193" s="1248"/>
      <c r="E193" s="1248"/>
      <c r="F193" s="991">
        <f>C193+D193-E193</f>
        <v>0</v>
      </c>
      <c r="G193" s="1248">
        <v>57372.79</v>
      </c>
      <c r="H193" s="1248"/>
      <c r="I193" s="1248"/>
      <c r="J193" s="991">
        <f>G193+H193-I193</f>
        <v>57372.79</v>
      </c>
      <c r="K193" s="1248">
        <f>C193+G193</f>
        <v>57372.79</v>
      </c>
      <c r="L193" s="991">
        <f>F193+J193</f>
        <v>57372.79</v>
      </c>
    </row>
    <row r="194" spans="1:12" ht="39" customHeight="1">
      <c r="A194" s="969"/>
      <c r="B194" s="850" t="s">
        <v>961</v>
      </c>
      <c r="C194" s="1260">
        <f>SUM(C192:C193)</f>
        <v>0</v>
      </c>
      <c r="D194" s="1260">
        <f aca="true" t="shared" si="65" ref="D194:K194">SUM(D192:D193)</f>
        <v>0</v>
      </c>
      <c r="E194" s="1260">
        <f t="shared" si="65"/>
        <v>0</v>
      </c>
      <c r="F194" s="1260">
        <f t="shared" si="65"/>
        <v>0</v>
      </c>
      <c r="G194" s="1260">
        <f t="shared" si="65"/>
        <v>57372.79</v>
      </c>
      <c r="H194" s="1260">
        <f t="shared" si="65"/>
        <v>47600</v>
      </c>
      <c r="I194" s="1260">
        <f t="shared" si="65"/>
        <v>0</v>
      </c>
      <c r="J194" s="1260">
        <f t="shared" si="65"/>
        <v>104972.79000000001</v>
      </c>
      <c r="K194" s="1260">
        <f t="shared" si="65"/>
        <v>57372.79</v>
      </c>
      <c r="L194" s="1260">
        <f>SUM(L192:L193)</f>
        <v>104972.79000000001</v>
      </c>
    </row>
    <row r="195" spans="1:12" ht="30" customHeight="1">
      <c r="A195" s="97">
        <v>732100</v>
      </c>
      <c r="B195" s="1148" t="s">
        <v>338</v>
      </c>
      <c r="C195" s="1242"/>
      <c r="D195" s="1242"/>
      <c r="E195" s="1242"/>
      <c r="F195" s="1242"/>
      <c r="G195" s="1242"/>
      <c r="H195" s="1242"/>
      <c r="I195" s="1242"/>
      <c r="J195" s="1242"/>
      <c r="K195" s="1242"/>
      <c r="L195" s="867"/>
    </row>
    <row r="196" spans="1:12" ht="30" customHeight="1">
      <c r="A196" s="99">
        <v>732111</v>
      </c>
      <c r="B196" s="100" t="s">
        <v>656</v>
      </c>
      <c r="C196" s="1248">
        <v>0</v>
      </c>
      <c r="D196" s="1248"/>
      <c r="E196" s="1248"/>
      <c r="F196" s="991">
        <f>C196+D196-E196</f>
        <v>0</v>
      </c>
      <c r="G196" s="1248">
        <v>12000</v>
      </c>
      <c r="H196" s="1248"/>
      <c r="I196" s="1248"/>
      <c r="J196" s="991">
        <f>G196+H196-I196</f>
        <v>12000</v>
      </c>
      <c r="K196" s="1248">
        <f>C196+G196</f>
        <v>12000</v>
      </c>
      <c r="L196" s="991">
        <f>F196+J196</f>
        <v>12000</v>
      </c>
    </row>
    <row r="197" spans="1:12" ht="36" customHeight="1">
      <c r="A197" s="105">
        <v>732114</v>
      </c>
      <c r="B197" s="107" t="s">
        <v>611</v>
      </c>
      <c r="C197" s="1248">
        <v>0</v>
      </c>
      <c r="D197" s="1248"/>
      <c r="E197" s="1248"/>
      <c r="F197" s="991">
        <f>C197+D197-E197</f>
        <v>0</v>
      </c>
      <c r="G197" s="1248">
        <v>853731.31</v>
      </c>
      <c r="H197" s="1248"/>
      <c r="I197" s="1248"/>
      <c r="J197" s="991">
        <f>G197+H197-I197</f>
        <v>853731.31</v>
      </c>
      <c r="K197" s="1248">
        <f>C197+G197</f>
        <v>853731.31</v>
      </c>
      <c r="L197" s="991">
        <f>F197+J197</f>
        <v>853731.31</v>
      </c>
    </row>
    <row r="198" spans="1:16" s="163" customFormat="1" ht="37.5" customHeight="1">
      <c r="A198" s="146"/>
      <c r="B198" s="162" t="s">
        <v>453</v>
      </c>
      <c r="C198" s="1261">
        <f>SUM(C196:C197)</f>
        <v>0</v>
      </c>
      <c r="D198" s="1261">
        <f aca="true" t="shared" si="66" ref="D198:L198">SUM(D196:D197)</f>
        <v>0</v>
      </c>
      <c r="E198" s="1261">
        <f t="shared" si="66"/>
        <v>0</v>
      </c>
      <c r="F198" s="1261">
        <f t="shared" si="66"/>
        <v>0</v>
      </c>
      <c r="G198" s="1261">
        <f t="shared" si="66"/>
        <v>865731.31</v>
      </c>
      <c r="H198" s="1261">
        <f t="shared" si="66"/>
        <v>0</v>
      </c>
      <c r="I198" s="1261">
        <f t="shared" si="66"/>
        <v>0</v>
      </c>
      <c r="J198" s="1261">
        <f t="shared" si="66"/>
        <v>865731.31</v>
      </c>
      <c r="K198" s="1261">
        <f t="shared" si="66"/>
        <v>865731.31</v>
      </c>
      <c r="L198" s="1261">
        <f t="shared" si="66"/>
        <v>865731.31</v>
      </c>
      <c r="M198" s="91"/>
      <c r="N198" s="91"/>
      <c r="O198" s="91"/>
      <c r="P198" s="91"/>
    </row>
    <row r="199" spans="1:12" s="145" customFormat="1" ht="35.25" customHeight="1">
      <c r="A199" s="110">
        <v>733100</v>
      </c>
      <c r="B199" s="116" t="s">
        <v>309</v>
      </c>
      <c r="C199" s="1262"/>
      <c r="D199" s="1262"/>
      <c r="E199" s="1262"/>
      <c r="F199" s="1262"/>
      <c r="G199" s="1262"/>
      <c r="H199" s="1262"/>
      <c r="I199" s="1262"/>
      <c r="J199" s="1262"/>
      <c r="K199" s="1262"/>
      <c r="L199" s="856"/>
    </row>
    <row r="200" spans="1:12" s="145" customFormat="1" ht="35.25" customHeight="1">
      <c r="A200" s="818">
        <v>733112</v>
      </c>
      <c r="B200" s="1059" t="s">
        <v>310</v>
      </c>
      <c r="C200" s="1248">
        <v>0</v>
      </c>
      <c r="D200" s="1248"/>
      <c r="E200" s="1248"/>
      <c r="F200" s="991">
        <f>C200+D200-E200</f>
        <v>0</v>
      </c>
      <c r="G200" s="1248">
        <v>0</v>
      </c>
      <c r="H200" s="1248"/>
      <c r="I200" s="1248"/>
      <c r="J200" s="991">
        <f>G200+H200-I200</f>
        <v>0</v>
      </c>
      <c r="K200" s="1248">
        <f>C200+G200</f>
        <v>0</v>
      </c>
      <c r="L200" s="991">
        <f>F200+J200</f>
        <v>0</v>
      </c>
    </row>
    <row r="201" spans="1:12" s="145" customFormat="1" ht="27.75" customHeight="1">
      <c r="A201" s="1334">
        <v>733120</v>
      </c>
      <c r="B201" s="1335" t="s">
        <v>467</v>
      </c>
      <c r="C201" s="1332">
        <v>0</v>
      </c>
      <c r="D201" s="1332"/>
      <c r="E201" s="1332"/>
      <c r="F201" s="1333">
        <f>C201+D201-E201</f>
        <v>0</v>
      </c>
      <c r="G201" s="1332">
        <v>84600</v>
      </c>
      <c r="H201" s="1332"/>
      <c r="I201" s="1332">
        <v>47600</v>
      </c>
      <c r="J201" s="1333">
        <f>G201+H201-I201</f>
        <v>37000</v>
      </c>
      <c r="K201" s="1332">
        <f>C201+G201</f>
        <v>84600</v>
      </c>
      <c r="L201" s="1333">
        <f>F201+J201</f>
        <v>37000</v>
      </c>
    </row>
    <row r="202" spans="1:12" s="145" customFormat="1" ht="45.75" customHeight="1">
      <c r="A202" s="164"/>
      <c r="B202" s="158" t="s">
        <v>311</v>
      </c>
      <c r="C202" s="1261">
        <f>SUM(C200:C201)</f>
        <v>0</v>
      </c>
      <c r="D202" s="1261">
        <f aca="true" t="shared" si="67" ref="D202:L202">SUM(D200:D201)</f>
        <v>0</v>
      </c>
      <c r="E202" s="1261">
        <f t="shared" si="67"/>
        <v>0</v>
      </c>
      <c r="F202" s="1261">
        <f t="shared" si="67"/>
        <v>0</v>
      </c>
      <c r="G202" s="1261">
        <f t="shared" si="67"/>
        <v>84600</v>
      </c>
      <c r="H202" s="1261">
        <f t="shared" si="67"/>
        <v>0</v>
      </c>
      <c r="I202" s="1261">
        <f t="shared" si="67"/>
        <v>47600</v>
      </c>
      <c r="J202" s="1261">
        <f t="shared" si="67"/>
        <v>37000</v>
      </c>
      <c r="K202" s="1261">
        <f t="shared" si="67"/>
        <v>84600</v>
      </c>
      <c r="L202" s="1261">
        <f t="shared" si="67"/>
        <v>37000</v>
      </c>
    </row>
    <row r="203" spans="1:12" s="145" customFormat="1" ht="42" customHeight="1">
      <c r="A203" s="110"/>
      <c r="B203" s="1148" t="s">
        <v>327</v>
      </c>
      <c r="C203" s="1243">
        <f>SUM(C202,C198,C194,)</f>
        <v>0</v>
      </c>
      <c r="D203" s="1243">
        <f aca="true" t="shared" si="68" ref="D203:L203">SUM(D202,D198,D194,)</f>
        <v>0</v>
      </c>
      <c r="E203" s="1243">
        <f t="shared" si="68"/>
        <v>0</v>
      </c>
      <c r="F203" s="1243">
        <f t="shared" si="68"/>
        <v>0</v>
      </c>
      <c r="G203" s="1243">
        <f t="shared" si="68"/>
        <v>1007704.1000000001</v>
      </c>
      <c r="H203" s="1243">
        <f t="shared" si="68"/>
        <v>47600</v>
      </c>
      <c r="I203" s="1243">
        <f t="shared" si="68"/>
        <v>47600</v>
      </c>
      <c r="J203" s="1243">
        <f t="shared" si="68"/>
        <v>1007704.1000000001</v>
      </c>
      <c r="K203" s="1243">
        <f t="shared" si="68"/>
        <v>1007704.1000000001</v>
      </c>
      <c r="L203" s="1243">
        <f t="shared" si="68"/>
        <v>1007704.1000000001</v>
      </c>
    </row>
    <row r="204" spans="1:12" s="145" customFormat="1" ht="42" customHeight="1">
      <c r="A204" s="110">
        <v>740000</v>
      </c>
      <c r="B204" s="848" t="s">
        <v>967</v>
      </c>
      <c r="C204" s="165"/>
      <c r="D204" s="165"/>
      <c r="E204" s="165"/>
      <c r="F204" s="165"/>
      <c r="G204" s="165"/>
      <c r="H204" s="165"/>
      <c r="I204" s="165"/>
      <c r="J204" s="165"/>
      <c r="K204" s="165"/>
      <c r="L204" s="954"/>
    </row>
    <row r="205" spans="1:12" s="145" customFormat="1" ht="42" customHeight="1">
      <c r="A205" s="97">
        <v>741100</v>
      </c>
      <c r="B205" s="849" t="s">
        <v>753</v>
      </c>
      <c r="C205" s="165"/>
      <c r="D205" s="165"/>
      <c r="E205" s="165"/>
      <c r="F205" s="165"/>
      <c r="G205" s="165"/>
      <c r="H205" s="165"/>
      <c r="I205" s="165"/>
      <c r="J205" s="165"/>
      <c r="K205" s="165"/>
      <c r="L205" s="857"/>
    </row>
    <row r="206" spans="1:12" s="145" customFormat="1" ht="27" customHeight="1">
      <c r="A206" s="121">
        <v>741111</v>
      </c>
      <c r="B206" s="122" t="s">
        <v>64</v>
      </c>
      <c r="C206" s="1248">
        <v>0</v>
      </c>
      <c r="D206" s="1248"/>
      <c r="E206" s="1248"/>
      <c r="F206" s="991">
        <f>C206+D206-E206</f>
        <v>0</v>
      </c>
      <c r="G206" s="1248">
        <v>168000</v>
      </c>
      <c r="H206" s="1248"/>
      <c r="I206" s="1248"/>
      <c r="J206" s="991">
        <f>G206+H206-I206</f>
        <v>168000</v>
      </c>
      <c r="K206" s="1248">
        <f>C206+G206</f>
        <v>168000</v>
      </c>
      <c r="L206" s="991">
        <f>F206+J206</f>
        <v>168000</v>
      </c>
    </row>
    <row r="207" spans="1:12" s="145" customFormat="1" ht="27" customHeight="1">
      <c r="A207" s="121">
        <v>741121</v>
      </c>
      <c r="B207" s="1091" t="s">
        <v>1389</v>
      </c>
      <c r="C207" s="1250">
        <v>0</v>
      </c>
      <c r="D207" s="1250"/>
      <c r="E207" s="1250"/>
      <c r="F207" s="991">
        <f>C207+D207-E207</f>
        <v>0</v>
      </c>
      <c r="G207" s="1250">
        <v>6434.7</v>
      </c>
      <c r="H207" s="1250"/>
      <c r="I207" s="1250"/>
      <c r="J207" s="991">
        <f>G207+H207-I207</f>
        <v>6434.7</v>
      </c>
      <c r="K207" s="1248">
        <f>C207+G207</f>
        <v>6434.7</v>
      </c>
      <c r="L207" s="991">
        <f>F207+J207</f>
        <v>6434.7</v>
      </c>
    </row>
    <row r="208" spans="1:12" s="145" customFormat="1" ht="42" customHeight="1">
      <c r="A208" s="105"/>
      <c r="B208" s="109" t="s">
        <v>43</v>
      </c>
      <c r="C208" s="117">
        <f>SUM(C206:C207)</f>
        <v>0</v>
      </c>
      <c r="D208" s="117">
        <f aca="true" t="shared" si="69" ref="D208:L208">SUM(D206:D207)</f>
        <v>0</v>
      </c>
      <c r="E208" s="117">
        <f t="shared" si="69"/>
        <v>0</v>
      </c>
      <c r="F208" s="117">
        <f t="shared" si="69"/>
        <v>0</v>
      </c>
      <c r="G208" s="117">
        <f t="shared" si="69"/>
        <v>174434.7</v>
      </c>
      <c r="H208" s="117">
        <f t="shared" si="69"/>
        <v>0</v>
      </c>
      <c r="I208" s="117">
        <f t="shared" si="69"/>
        <v>0</v>
      </c>
      <c r="J208" s="117">
        <f t="shared" si="69"/>
        <v>174434.7</v>
      </c>
      <c r="K208" s="117">
        <f t="shared" si="69"/>
        <v>174434.7</v>
      </c>
      <c r="L208" s="117">
        <f t="shared" si="69"/>
        <v>174434.7</v>
      </c>
    </row>
    <row r="209" spans="1:12" s="145" customFormat="1" ht="42" customHeight="1">
      <c r="A209" s="110">
        <v>742100</v>
      </c>
      <c r="B209" s="848" t="s">
        <v>754</v>
      </c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</row>
    <row r="210" spans="1:12" s="145" customFormat="1" ht="32.25" customHeight="1">
      <c r="A210" s="121">
        <v>742112</v>
      </c>
      <c r="B210" s="122" t="s">
        <v>62</v>
      </c>
      <c r="C210" s="1248">
        <v>0</v>
      </c>
      <c r="D210" s="1248"/>
      <c r="E210" s="1248"/>
      <c r="F210" s="991">
        <f>C210+D210-E210</f>
        <v>0</v>
      </c>
      <c r="G210" s="1248">
        <v>25000</v>
      </c>
      <c r="H210" s="1248"/>
      <c r="I210" s="1248"/>
      <c r="J210" s="991">
        <f>G210+H210-I210</f>
        <v>25000</v>
      </c>
      <c r="K210" s="1248">
        <f>C210+G210</f>
        <v>25000</v>
      </c>
      <c r="L210" s="991">
        <f>F210+J210</f>
        <v>25000</v>
      </c>
    </row>
    <row r="211" spans="1:12" s="145" customFormat="1" ht="32.25" customHeight="1">
      <c r="A211" s="1391">
        <v>742114</v>
      </c>
      <c r="B211" s="1414" t="s">
        <v>711</v>
      </c>
      <c r="C211" s="1332">
        <v>0</v>
      </c>
      <c r="D211" s="1332"/>
      <c r="E211" s="1332"/>
      <c r="F211" s="1333">
        <f>C211+D211-E211</f>
        <v>0</v>
      </c>
      <c r="G211" s="1332">
        <v>19406</v>
      </c>
      <c r="H211" s="1332"/>
      <c r="I211" s="1332">
        <v>7850</v>
      </c>
      <c r="J211" s="1333">
        <f>G211+H211-I211</f>
        <v>11556</v>
      </c>
      <c r="K211" s="1332">
        <f>C211+G211</f>
        <v>19406</v>
      </c>
      <c r="L211" s="1333">
        <f>F211+J211</f>
        <v>11556</v>
      </c>
    </row>
    <row r="212" spans="1:12" s="145" customFormat="1" ht="42" customHeight="1">
      <c r="A212" s="99"/>
      <c r="B212" s="851" t="s">
        <v>210</v>
      </c>
      <c r="C212" s="117">
        <f>SUM(C210,C211,)</f>
        <v>0</v>
      </c>
      <c r="D212" s="117">
        <f aca="true" t="shared" si="70" ref="D212:L212">SUM(D210,D211,)</f>
        <v>0</v>
      </c>
      <c r="E212" s="117">
        <f t="shared" si="70"/>
        <v>0</v>
      </c>
      <c r="F212" s="117">
        <f t="shared" si="70"/>
        <v>0</v>
      </c>
      <c r="G212" s="117">
        <f t="shared" si="70"/>
        <v>44406</v>
      </c>
      <c r="H212" s="117">
        <f t="shared" si="70"/>
        <v>0</v>
      </c>
      <c r="I212" s="117">
        <f t="shared" si="70"/>
        <v>7850</v>
      </c>
      <c r="J212" s="117">
        <f t="shared" si="70"/>
        <v>36556</v>
      </c>
      <c r="K212" s="117">
        <f t="shared" si="70"/>
        <v>44406</v>
      </c>
      <c r="L212" s="117">
        <f t="shared" si="70"/>
        <v>36556</v>
      </c>
    </row>
    <row r="213" spans="1:12" s="145" customFormat="1" ht="42" customHeight="1">
      <c r="A213" s="110">
        <v>742200</v>
      </c>
      <c r="B213" s="848" t="s">
        <v>755</v>
      </c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</row>
    <row r="214" spans="1:12" s="145" customFormat="1" ht="23.25" customHeight="1">
      <c r="A214" s="121">
        <v>742212</v>
      </c>
      <c r="B214" s="858" t="s">
        <v>924</v>
      </c>
      <c r="C214" s="1248">
        <v>0</v>
      </c>
      <c r="D214" s="1248"/>
      <c r="E214" s="1248"/>
      <c r="F214" s="991">
        <f>C214+D214-E214</f>
        <v>0</v>
      </c>
      <c r="G214" s="1248">
        <v>0</v>
      </c>
      <c r="H214" s="1248"/>
      <c r="I214" s="1248"/>
      <c r="J214" s="991">
        <f>G214+H214-I214</f>
        <v>0</v>
      </c>
      <c r="K214" s="1248">
        <f>C214+G214</f>
        <v>0</v>
      </c>
      <c r="L214" s="991">
        <f>F214+J214</f>
        <v>0</v>
      </c>
    </row>
    <row r="215" spans="1:12" s="145" customFormat="1" ht="42" customHeight="1">
      <c r="A215" s="99"/>
      <c r="B215" s="851" t="s">
        <v>211</v>
      </c>
      <c r="C215" s="117">
        <f>SUM(C214)</f>
        <v>0</v>
      </c>
      <c r="D215" s="117">
        <f aca="true" t="shared" si="71" ref="D215:L215">SUM(D214)</f>
        <v>0</v>
      </c>
      <c r="E215" s="117">
        <f t="shared" si="71"/>
        <v>0</v>
      </c>
      <c r="F215" s="117">
        <f t="shared" si="71"/>
        <v>0</v>
      </c>
      <c r="G215" s="117">
        <f t="shared" si="71"/>
        <v>0</v>
      </c>
      <c r="H215" s="117">
        <f t="shared" si="71"/>
        <v>0</v>
      </c>
      <c r="I215" s="117">
        <f t="shared" si="71"/>
        <v>0</v>
      </c>
      <c r="J215" s="117">
        <f t="shared" si="71"/>
        <v>0</v>
      </c>
      <c r="K215" s="117">
        <f t="shared" si="71"/>
        <v>0</v>
      </c>
      <c r="L215" s="117">
        <f t="shared" si="71"/>
        <v>0</v>
      </c>
    </row>
    <row r="216" spans="1:12" s="145" customFormat="1" ht="42" customHeight="1">
      <c r="A216" s="105"/>
      <c r="B216" s="119" t="s">
        <v>725</v>
      </c>
      <c r="C216" s="117">
        <f>SUM(C208,C215,C212,)</f>
        <v>0</v>
      </c>
      <c r="D216" s="117">
        <f aca="true" t="shared" si="72" ref="D216:L216">SUM(D208,D215,D212,)</f>
        <v>0</v>
      </c>
      <c r="E216" s="117">
        <f t="shared" si="72"/>
        <v>0</v>
      </c>
      <c r="F216" s="117">
        <f t="shared" si="72"/>
        <v>0</v>
      </c>
      <c r="G216" s="117">
        <f t="shared" si="72"/>
        <v>218840.7</v>
      </c>
      <c r="H216" s="117">
        <f t="shared" si="72"/>
        <v>0</v>
      </c>
      <c r="I216" s="117">
        <f t="shared" si="72"/>
        <v>7850</v>
      </c>
      <c r="J216" s="117">
        <f t="shared" si="72"/>
        <v>210990.7</v>
      </c>
      <c r="K216" s="117">
        <f t="shared" si="72"/>
        <v>218840.7</v>
      </c>
      <c r="L216" s="117">
        <f t="shared" si="72"/>
        <v>210990.7</v>
      </c>
    </row>
    <row r="217" spans="1:12" s="145" customFormat="1" ht="42" customHeight="1">
      <c r="A217" s="101"/>
      <c r="B217" s="957" t="s">
        <v>1057</v>
      </c>
      <c r="C217" s="1243">
        <f>SUM(C105+C184+C203+C216)</f>
        <v>37200813</v>
      </c>
      <c r="D217" s="1243">
        <f aca="true" t="shared" si="73" ref="D217:L217">SUM(D105+D184+D203+D216)</f>
        <v>1023000</v>
      </c>
      <c r="E217" s="1243">
        <f t="shared" si="73"/>
        <v>7103405.75</v>
      </c>
      <c r="F217" s="1243">
        <f t="shared" si="73"/>
        <v>31120407.25</v>
      </c>
      <c r="G217" s="1243">
        <f t="shared" si="73"/>
        <v>1301544.8</v>
      </c>
      <c r="H217" s="1243">
        <f t="shared" si="73"/>
        <v>47600</v>
      </c>
      <c r="I217" s="1243">
        <f t="shared" si="73"/>
        <v>55450</v>
      </c>
      <c r="J217" s="1243">
        <f t="shared" si="73"/>
        <v>1293694.8</v>
      </c>
      <c r="K217" s="1243">
        <f t="shared" si="73"/>
        <v>38502357.800000004</v>
      </c>
      <c r="L217" s="1243">
        <f t="shared" si="73"/>
        <v>32414102.05</v>
      </c>
    </row>
    <row r="218" spans="1:12" s="145" customFormat="1" ht="48" customHeight="1" thickBot="1">
      <c r="A218" s="1483"/>
      <c r="B218" s="1482" t="s">
        <v>1431</v>
      </c>
      <c r="C218" s="1484">
        <v>1137885.37</v>
      </c>
      <c r="D218" s="1484">
        <v>2990005.75</v>
      </c>
      <c r="E218" s="1484">
        <v>0</v>
      </c>
      <c r="F218" s="1484">
        <f>C218+D218-E218</f>
        <v>4127891.12</v>
      </c>
      <c r="G218" s="1484">
        <v>0</v>
      </c>
      <c r="H218" s="1484">
        <v>0</v>
      </c>
      <c r="I218" s="1484">
        <v>0</v>
      </c>
      <c r="J218" s="1484">
        <v>0</v>
      </c>
      <c r="K218" s="1478">
        <f>C218+G218</f>
        <v>1137885.37</v>
      </c>
      <c r="L218" s="1479">
        <f>F218+J218</f>
        <v>4127891.12</v>
      </c>
    </row>
    <row r="219" spans="1:12" s="120" customFormat="1" ht="56.25" customHeight="1" thickBot="1">
      <c r="A219" s="168"/>
      <c r="B219" s="839" t="s">
        <v>1212</v>
      </c>
      <c r="C219" s="1263">
        <f>SUM(C217:C218)</f>
        <v>38338698.37</v>
      </c>
      <c r="D219" s="1263">
        <f aca="true" t="shared" si="74" ref="D219:L219">SUM(D217:D218)</f>
        <v>4013005.75</v>
      </c>
      <c r="E219" s="1263">
        <f t="shared" si="74"/>
        <v>7103405.75</v>
      </c>
      <c r="F219" s="1263">
        <f t="shared" si="74"/>
        <v>35248298.37</v>
      </c>
      <c r="G219" s="1263">
        <f t="shared" si="74"/>
        <v>1301544.8</v>
      </c>
      <c r="H219" s="1263">
        <f t="shared" si="74"/>
        <v>47600</v>
      </c>
      <c r="I219" s="1263">
        <f t="shared" si="74"/>
        <v>55450</v>
      </c>
      <c r="J219" s="1263">
        <f t="shared" si="74"/>
        <v>1293694.8</v>
      </c>
      <c r="K219" s="1263">
        <f t="shared" si="74"/>
        <v>39640243.17</v>
      </c>
      <c r="L219" s="1263">
        <f t="shared" si="74"/>
        <v>36541993.17</v>
      </c>
    </row>
    <row r="220" spans="1:12" s="120" customFormat="1" ht="56.25" customHeight="1" thickBot="1">
      <c r="A220" s="1457"/>
      <c r="B220" s="1458"/>
      <c r="C220" s="1459"/>
      <c r="D220" s="1459"/>
      <c r="E220" s="1459"/>
      <c r="F220" s="1459"/>
      <c r="G220" s="1459"/>
      <c r="H220" s="1459"/>
      <c r="I220" s="1459"/>
      <c r="J220" s="1459"/>
      <c r="K220" s="1459"/>
      <c r="L220" s="1459"/>
    </row>
    <row r="221" spans="1:12" s="120" customFormat="1" ht="241.5" customHeight="1">
      <c r="A221" s="92" t="s">
        <v>323</v>
      </c>
      <c r="B221" s="93" t="s">
        <v>342</v>
      </c>
      <c r="C221" s="813" t="s">
        <v>1124</v>
      </c>
      <c r="D221" s="813" t="s">
        <v>1332</v>
      </c>
      <c r="E221" s="813" t="s">
        <v>1333</v>
      </c>
      <c r="F221" s="813" t="s">
        <v>1334</v>
      </c>
      <c r="G221" s="813" t="s">
        <v>1184</v>
      </c>
      <c r="H221" s="813" t="s">
        <v>1335</v>
      </c>
      <c r="I221" s="813" t="s">
        <v>1336</v>
      </c>
      <c r="J221" s="813" t="s">
        <v>1337</v>
      </c>
      <c r="K221" s="813" t="s">
        <v>1125</v>
      </c>
      <c r="L221" s="1149" t="s">
        <v>1331</v>
      </c>
    </row>
    <row r="222" spans="1:12" s="120" customFormat="1" ht="27.75" customHeight="1">
      <c r="A222" s="94">
        <v>0</v>
      </c>
      <c r="B222" s="95">
        <v>1</v>
      </c>
      <c r="C222" s="1241">
        <v>2</v>
      </c>
      <c r="D222" s="1241">
        <v>3</v>
      </c>
      <c r="E222" s="1241">
        <v>4</v>
      </c>
      <c r="F222" s="1241">
        <v>5</v>
      </c>
      <c r="G222" s="1241">
        <v>6</v>
      </c>
      <c r="H222" s="1241">
        <v>7</v>
      </c>
      <c r="I222" s="1241">
        <v>8</v>
      </c>
      <c r="J222" s="1241">
        <v>9</v>
      </c>
      <c r="K222" s="1241">
        <v>10</v>
      </c>
      <c r="L222" s="990">
        <v>11</v>
      </c>
    </row>
    <row r="223" spans="1:12" s="120" customFormat="1" ht="56.25" customHeight="1">
      <c r="A223" s="171"/>
      <c r="B223" s="131" t="s">
        <v>1409</v>
      </c>
      <c r="C223" s="1264"/>
      <c r="D223" s="1264"/>
      <c r="E223" s="1264"/>
      <c r="F223" s="1264"/>
      <c r="G223" s="1264"/>
      <c r="H223" s="1264"/>
      <c r="I223" s="1264"/>
      <c r="J223" s="1264"/>
      <c r="K223" s="1264"/>
      <c r="L223" s="997"/>
    </row>
    <row r="224" spans="1:12" s="120" customFormat="1" ht="56.25" customHeight="1">
      <c r="A224" s="97">
        <v>720000</v>
      </c>
      <c r="B224" s="98" t="s">
        <v>629</v>
      </c>
      <c r="C224" s="165"/>
      <c r="D224" s="165"/>
      <c r="E224" s="165"/>
      <c r="F224" s="165"/>
      <c r="G224" s="165"/>
      <c r="H224" s="165"/>
      <c r="I224" s="165"/>
      <c r="J224" s="165"/>
      <c r="K224" s="165"/>
      <c r="L224" s="862"/>
    </row>
    <row r="225" spans="1:12" s="120" customFormat="1" ht="36.75" customHeight="1">
      <c r="A225" s="97">
        <v>722400</v>
      </c>
      <c r="B225" s="851" t="s">
        <v>386</v>
      </c>
      <c r="C225" s="165"/>
      <c r="D225" s="165"/>
      <c r="E225" s="165"/>
      <c r="F225" s="165"/>
      <c r="G225" s="165"/>
      <c r="H225" s="165"/>
      <c r="I225" s="165"/>
      <c r="J225" s="165"/>
      <c r="K225" s="165"/>
      <c r="L225" s="862"/>
    </row>
    <row r="226" spans="1:12" s="120" customFormat="1" ht="39.75" customHeight="1">
      <c r="A226" s="818">
        <v>722442</v>
      </c>
      <c r="B226" s="1059" t="s">
        <v>117</v>
      </c>
      <c r="C226" s="1225">
        <v>0</v>
      </c>
      <c r="D226" s="1225">
        <v>1200000</v>
      </c>
      <c r="E226" s="1275"/>
      <c r="F226" s="991">
        <f>C226+D226-E226</f>
        <v>1200000</v>
      </c>
      <c r="G226" s="1275"/>
      <c r="H226" s="1275"/>
      <c r="I226" s="991"/>
      <c r="J226" s="991">
        <f>G226+H226-I226</f>
        <v>0</v>
      </c>
      <c r="K226" s="1248">
        <f>C226+G226</f>
        <v>0</v>
      </c>
      <c r="L226" s="1472">
        <f>F226+J226</f>
        <v>1200000</v>
      </c>
    </row>
    <row r="227" spans="1:12" s="120" customFormat="1" ht="39.75" customHeight="1">
      <c r="A227" s="818"/>
      <c r="B227" s="1461" t="s">
        <v>409</v>
      </c>
      <c r="C227" s="1272">
        <f>SUM(C226)</f>
        <v>0</v>
      </c>
      <c r="D227" s="1272">
        <f aca="true" t="shared" si="75" ref="D227:L229">SUM(D226)</f>
        <v>1200000</v>
      </c>
      <c r="E227" s="1272">
        <f t="shared" si="75"/>
        <v>0</v>
      </c>
      <c r="F227" s="1272">
        <f t="shared" si="75"/>
        <v>1200000</v>
      </c>
      <c r="G227" s="1272">
        <f t="shared" si="75"/>
        <v>0</v>
      </c>
      <c r="H227" s="1272">
        <f t="shared" si="75"/>
        <v>0</v>
      </c>
      <c r="I227" s="1272">
        <f t="shared" si="75"/>
        <v>0</v>
      </c>
      <c r="J227" s="1272">
        <f t="shared" si="75"/>
        <v>0</v>
      </c>
      <c r="K227" s="1272">
        <f t="shared" si="75"/>
        <v>0</v>
      </c>
      <c r="L227" s="1463">
        <f t="shared" si="75"/>
        <v>1200000</v>
      </c>
    </row>
    <row r="228" spans="1:12" s="120" customFormat="1" ht="56.25" customHeight="1">
      <c r="A228" s="118"/>
      <c r="B228" s="957" t="s">
        <v>452</v>
      </c>
      <c r="C228" s="1256">
        <f>SUM(C227)</f>
        <v>0</v>
      </c>
      <c r="D228" s="1256">
        <f t="shared" si="75"/>
        <v>1200000</v>
      </c>
      <c r="E228" s="1256">
        <f t="shared" si="75"/>
        <v>0</v>
      </c>
      <c r="F228" s="1256">
        <f t="shared" si="75"/>
        <v>1200000</v>
      </c>
      <c r="G228" s="1256">
        <f t="shared" si="75"/>
        <v>0</v>
      </c>
      <c r="H228" s="1256">
        <f t="shared" si="75"/>
        <v>0</v>
      </c>
      <c r="I228" s="1256">
        <f t="shared" si="75"/>
        <v>0</v>
      </c>
      <c r="J228" s="1256">
        <f t="shared" si="75"/>
        <v>0</v>
      </c>
      <c r="K228" s="1256">
        <f t="shared" si="75"/>
        <v>0</v>
      </c>
      <c r="L228" s="1460">
        <f t="shared" si="75"/>
        <v>1200000</v>
      </c>
    </row>
    <row r="229" spans="1:12" s="120" customFormat="1" ht="56.25" customHeight="1" thickBot="1">
      <c r="A229" s="187"/>
      <c r="B229" s="1095" t="s">
        <v>1410</v>
      </c>
      <c r="C229" s="1473">
        <f>SUM(C228)</f>
        <v>0</v>
      </c>
      <c r="D229" s="1473">
        <f t="shared" si="75"/>
        <v>1200000</v>
      </c>
      <c r="E229" s="1473">
        <f t="shared" si="75"/>
        <v>0</v>
      </c>
      <c r="F229" s="1473">
        <f t="shared" si="75"/>
        <v>1200000</v>
      </c>
      <c r="G229" s="1473">
        <f t="shared" si="75"/>
        <v>0</v>
      </c>
      <c r="H229" s="1473">
        <f t="shared" si="75"/>
        <v>0</v>
      </c>
      <c r="I229" s="1473">
        <f t="shared" si="75"/>
        <v>0</v>
      </c>
      <c r="J229" s="1473">
        <f t="shared" si="75"/>
        <v>0</v>
      </c>
      <c r="K229" s="1473">
        <f t="shared" si="75"/>
        <v>0</v>
      </c>
      <c r="L229" s="1474">
        <f t="shared" si="75"/>
        <v>1200000</v>
      </c>
    </row>
    <row r="230" spans="1:12" s="120" customFormat="1" ht="35.25" customHeight="1" thickBot="1">
      <c r="A230" s="169"/>
      <c r="B230" s="169"/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</row>
    <row r="231" spans="1:12" s="120" customFormat="1" ht="261" customHeight="1">
      <c r="A231" s="92" t="s">
        <v>323</v>
      </c>
      <c r="B231" s="93" t="s">
        <v>342</v>
      </c>
      <c r="C231" s="813" t="s">
        <v>1124</v>
      </c>
      <c r="D231" s="813" t="s">
        <v>1332</v>
      </c>
      <c r="E231" s="813" t="s">
        <v>1333</v>
      </c>
      <c r="F231" s="813" t="s">
        <v>1334</v>
      </c>
      <c r="G231" s="813" t="s">
        <v>1184</v>
      </c>
      <c r="H231" s="813" t="s">
        <v>1335</v>
      </c>
      <c r="I231" s="813" t="s">
        <v>1336</v>
      </c>
      <c r="J231" s="813" t="s">
        <v>1337</v>
      </c>
      <c r="K231" s="813" t="s">
        <v>1125</v>
      </c>
      <c r="L231" s="813" t="s">
        <v>1331</v>
      </c>
    </row>
    <row r="232" spans="1:12" s="120" customFormat="1" ht="20.25" customHeight="1">
      <c r="A232" s="94">
        <v>0</v>
      </c>
      <c r="B232" s="95">
        <v>1</v>
      </c>
      <c r="C232" s="1241">
        <v>2</v>
      </c>
      <c r="D232" s="1241">
        <v>3</v>
      </c>
      <c r="E232" s="1241">
        <v>4</v>
      </c>
      <c r="F232" s="1241">
        <v>5</v>
      </c>
      <c r="G232" s="1241">
        <v>6</v>
      </c>
      <c r="H232" s="1241">
        <v>7</v>
      </c>
      <c r="I232" s="1241">
        <v>8</v>
      </c>
      <c r="J232" s="1241">
        <v>9</v>
      </c>
      <c r="K232" s="1241">
        <v>10</v>
      </c>
      <c r="L232" s="990">
        <v>11</v>
      </c>
    </row>
    <row r="233" spans="1:12" s="120" customFormat="1" ht="54" customHeight="1">
      <c r="A233" s="171"/>
      <c r="B233" s="131" t="s">
        <v>1420</v>
      </c>
      <c r="C233" s="1264"/>
      <c r="D233" s="1264"/>
      <c r="E233" s="1264"/>
      <c r="F233" s="1264"/>
      <c r="G233" s="1264"/>
      <c r="H233" s="1264"/>
      <c r="I233" s="1264"/>
      <c r="J233" s="1264"/>
      <c r="K233" s="1264"/>
      <c r="L233" s="997"/>
    </row>
    <row r="234" spans="1:12" s="120" customFormat="1" ht="39" customHeight="1">
      <c r="A234" s="97">
        <v>720000</v>
      </c>
      <c r="B234" s="98" t="s">
        <v>629</v>
      </c>
      <c r="C234" s="165"/>
      <c r="D234" s="165"/>
      <c r="E234" s="165"/>
      <c r="F234" s="165"/>
      <c r="G234" s="165"/>
      <c r="H234" s="165"/>
      <c r="I234" s="165"/>
      <c r="J234" s="165"/>
      <c r="K234" s="165"/>
      <c r="L234" s="862"/>
    </row>
    <row r="235" spans="1:12" s="120" customFormat="1" ht="52.5" customHeight="1">
      <c r="A235" s="97">
        <v>722600</v>
      </c>
      <c r="B235" s="1148" t="s">
        <v>625</v>
      </c>
      <c r="C235" s="165"/>
      <c r="D235" s="165"/>
      <c r="E235" s="165"/>
      <c r="F235" s="165"/>
      <c r="G235" s="165"/>
      <c r="H235" s="165"/>
      <c r="I235" s="165"/>
      <c r="J235" s="165"/>
      <c r="K235" s="165"/>
      <c r="L235" s="862"/>
    </row>
    <row r="236" spans="1:12" s="120" customFormat="1" ht="11.25" customHeight="1">
      <c r="A236" s="97"/>
      <c r="B236" s="1148"/>
      <c r="C236" s="165"/>
      <c r="D236" s="165"/>
      <c r="E236" s="165"/>
      <c r="F236" s="165"/>
      <c r="G236" s="165"/>
      <c r="H236" s="165"/>
      <c r="I236" s="165"/>
      <c r="J236" s="165"/>
      <c r="K236" s="165"/>
      <c r="L236" s="862"/>
    </row>
    <row r="237" spans="1:12" s="120" customFormat="1" ht="24.75" customHeight="1">
      <c r="A237" s="99">
        <v>722611</v>
      </c>
      <c r="B237" s="115" t="s">
        <v>628</v>
      </c>
      <c r="C237" s="1248">
        <v>0</v>
      </c>
      <c r="D237" s="1248"/>
      <c r="E237" s="1248"/>
      <c r="F237" s="991">
        <f>C237+D237-E237</f>
        <v>0</v>
      </c>
      <c r="G237" s="1248">
        <v>30000</v>
      </c>
      <c r="H237" s="1248"/>
      <c r="I237" s="1248"/>
      <c r="J237" s="991">
        <f>G237+H237-I237</f>
        <v>30000</v>
      </c>
      <c r="K237" s="1248">
        <f>C237+G237</f>
        <v>30000</v>
      </c>
      <c r="L237" s="991">
        <f>F237+J237</f>
        <v>30000</v>
      </c>
    </row>
    <row r="238" spans="1:12" s="120" customFormat="1" ht="33.75" customHeight="1">
      <c r="A238" s="118"/>
      <c r="B238" s="119" t="s">
        <v>415</v>
      </c>
      <c r="C238" s="1243">
        <f>SUM(C237)</f>
        <v>0</v>
      </c>
      <c r="D238" s="1243">
        <f aca="true" t="shared" si="76" ref="D238:L238">SUM(D237)</f>
        <v>0</v>
      </c>
      <c r="E238" s="1243">
        <f t="shared" si="76"/>
        <v>0</v>
      </c>
      <c r="F238" s="1243">
        <f t="shared" si="76"/>
        <v>0</v>
      </c>
      <c r="G238" s="1243">
        <f t="shared" si="76"/>
        <v>30000</v>
      </c>
      <c r="H238" s="1243">
        <f t="shared" si="76"/>
        <v>0</v>
      </c>
      <c r="I238" s="1243">
        <f t="shared" si="76"/>
        <v>0</v>
      </c>
      <c r="J238" s="1243">
        <f t="shared" si="76"/>
        <v>30000</v>
      </c>
      <c r="K238" s="1243">
        <f t="shared" si="76"/>
        <v>30000</v>
      </c>
      <c r="L238" s="1243">
        <f t="shared" si="76"/>
        <v>30000</v>
      </c>
    </row>
    <row r="239" spans="1:12" s="120" customFormat="1" ht="33.75" customHeight="1">
      <c r="A239" s="110">
        <v>722700</v>
      </c>
      <c r="B239" s="98" t="s">
        <v>416</v>
      </c>
      <c r="C239" s="1264"/>
      <c r="D239" s="1264"/>
      <c r="E239" s="1264"/>
      <c r="F239" s="1264"/>
      <c r="G239" s="1264"/>
      <c r="H239" s="1264"/>
      <c r="I239" s="1264"/>
      <c r="J239" s="1264"/>
      <c r="K239" s="1264"/>
      <c r="L239" s="861"/>
    </row>
    <row r="240" spans="1:12" s="120" customFormat="1" ht="33.75" customHeight="1">
      <c r="A240" s="121">
        <v>722761</v>
      </c>
      <c r="B240" s="150" t="s">
        <v>380</v>
      </c>
      <c r="C240" s="1248">
        <v>0</v>
      </c>
      <c r="D240" s="1248"/>
      <c r="E240" s="1248"/>
      <c r="F240" s="991">
        <f>C240+D240-E240</f>
        <v>0</v>
      </c>
      <c r="G240" s="1248">
        <v>45000</v>
      </c>
      <c r="H240" s="1248"/>
      <c r="I240" s="1248"/>
      <c r="J240" s="991">
        <f>G240+H240-I240</f>
        <v>45000</v>
      </c>
      <c r="K240" s="1248">
        <f>C240+G240</f>
        <v>45000</v>
      </c>
      <c r="L240" s="991">
        <f>F240+J240</f>
        <v>45000</v>
      </c>
    </row>
    <row r="241" spans="1:12" s="120" customFormat="1" ht="33.75" customHeight="1">
      <c r="A241" s="110"/>
      <c r="B241" s="119" t="s">
        <v>421</v>
      </c>
      <c r="C241" s="1243">
        <f>SUM(C240:C240)</f>
        <v>0</v>
      </c>
      <c r="D241" s="1243">
        <f aca="true" t="shared" si="77" ref="D241:L241">SUM(D240:D240)</f>
        <v>0</v>
      </c>
      <c r="E241" s="1243">
        <f t="shared" si="77"/>
        <v>0</v>
      </c>
      <c r="F241" s="1243">
        <f t="shared" si="77"/>
        <v>0</v>
      </c>
      <c r="G241" s="1243">
        <f t="shared" si="77"/>
        <v>45000</v>
      </c>
      <c r="H241" s="1243">
        <f t="shared" si="77"/>
        <v>0</v>
      </c>
      <c r="I241" s="1243">
        <f t="shared" si="77"/>
        <v>0</v>
      </c>
      <c r="J241" s="1243">
        <f t="shared" si="77"/>
        <v>45000</v>
      </c>
      <c r="K241" s="1243">
        <f t="shared" si="77"/>
        <v>45000</v>
      </c>
      <c r="L241" s="1243">
        <f t="shared" si="77"/>
        <v>45000</v>
      </c>
    </row>
    <row r="242" spans="1:12" s="120" customFormat="1" ht="33.75" customHeight="1">
      <c r="A242" s="110"/>
      <c r="B242" s="158" t="s">
        <v>538</v>
      </c>
      <c r="C242" s="1243">
        <f>SUM(C238,C241,)</f>
        <v>0</v>
      </c>
      <c r="D242" s="1243">
        <f aca="true" t="shared" si="78" ref="D242:L242">SUM(D238,D241,)</f>
        <v>0</v>
      </c>
      <c r="E242" s="1243">
        <f t="shared" si="78"/>
        <v>0</v>
      </c>
      <c r="F242" s="1243">
        <f t="shared" si="78"/>
        <v>0</v>
      </c>
      <c r="G242" s="1243">
        <f t="shared" si="78"/>
        <v>75000</v>
      </c>
      <c r="H242" s="1243">
        <f t="shared" si="78"/>
        <v>0</v>
      </c>
      <c r="I242" s="1243">
        <f t="shared" si="78"/>
        <v>0</v>
      </c>
      <c r="J242" s="1243">
        <f t="shared" si="78"/>
        <v>75000</v>
      </c>
      <c r="K242" s="1243">
        <f t="shared" si="78"/>
        <v>75000</v>
      </c>
      <c r="L242" s="1243">
        <f t="shared" si="78"/>
        <v>75000</v>
      </c>
    </row>
    <row r="243" spans="1:12" s="120" customFormat="1" ht="33.75" customHeight="1">
      <c r="A243" s="110">
        <v>730000</v>
      </c>
      <c r="B243" s="116" t="s">
        <v>539</v>
      </c>
      <c r="C243" s="165"/>
      <c r="D243" s="165"/>
      <c r="E243" s="165"/>
      <c r="F243" s="165"/>
      <c r="G243" s="165"/>
      <c r="H243" s="165"/>
      <c r="I243" s="165"/>
      <c r="J243" s="165"/>
      <c r="K243" s="165"/>
      <c r="L243" s="862"/>
    </row>
    <row r="244" spans="1:12" s="120" customFormat="1" ht="33.75" customHeight="1">
      <c r="A244" s="97">
        <v>732100</v>
      </c>
      <c r="B244" s="1148" t="s">
        <v>338</v>
      </c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</row>
    <row r="245" spans="1:12" s="120" customFormat="1" ht="33.75" customHeight="1">
      <c r="A245" s="99">
        <v>732112</v>
      </c>
      <c r="B245" s="859" t="s">
        <v>1179</v>
      </c>
      <c r="C245" s="1255">
        <v>0</v>
      </c>
      <c r="D245" s="1255"/>
      <c r="E245" s="1255"/>
      <c r="F245" s="991">
        <f>C245+D245-E245</f>
        <v>0</v>
      </c>
      <c r="G245" s="1255">
        <v>0</v>
      </c>
      <c r="H245" s="1255"/>
      <c r="I245" s="1255"/>
      <c r="J245" s="991">
        <f>G245+H245-I245</f>
        <v>0</v>
      </c>
      <c r="K245" s="1248">
        <f>C245+G245</f>
        <v>0</v>
      </c>
      <c r="L245" s="991">
        <f>F245+J245</f>
        <v>0</v>
      </c>
    </row>
    <row r="246" spans="1:12" s="120" customFormat="1" ht="33.75" customHeight="1">
      <c r="A246" s="105">
        <v>732114</v>
      </c>
      <c r="B246" s="107" t="s">
        <v>611</v>
      </c>
      <c r="C246" s="1265">
        <v>0</v>
      </c>
      <c r="D246" s="1265"/>
      <c r="E246" s="1265"/>
      <c r="F246" s="991">
        <f>C246+D246-E246</f>
        <v>0</v>
      </c>
      <c r="G246" s="1265">
        <v>0</v>
      </c>
      <c r="H246" s="1265"/>
      <c r="I246" s="1265"/>
      <c r="J246" s="991">
        <f>G246+H246-I246</f>
        <v>0</v>
      </c>
      <c r="K246" s="1248">
        <f>C246+G246</f>
        <v>0</v>
      </c>
      <c r="L246" s="991">
        <f>F246+J246</f>
        <v>0</v>
      </c>
    </row>
    <row r="247" spans="1:12" s="120" customFormat="1" ht="33.75" customHeight="1">
      <c r="A247" s="105"/>
      <c r="B247" s="957" t="s">
        <v>453</v>
      </c>
      <c r="C247" s="1256">
        <f>SUM(C245:C246)</f>
        <v>0</v>
      </c>
      <c r="D247" s="1256">
        <f aca="true" t="shared" si="79" ref="D247:L247">SUM(D245:D246)</f>
        <v>0</v>
      </c>
      <c r="E247" s="1256">
        <f t="shared" si="79"/>
        <v>0</v>
      </c>
      <c r="F247" s="1256">
        <f t="shared" si="79"/>
        <v>0</v>
      </c>
      <c r="G247" s="1256">
        <f t="shared" si="79"/>
        <v>0</v>
      </c>
      <c r="H247" s="1256">
        <f t="shared" si="79"/>
        <v>0</v>
      </c>
      <c r="I247" s="1256">
        <f t="shared" si="79"/>
        <v>0</v>
      </c>
      <c r="J247" s="1256">
        <f t="shared" si="79"/>
        <v>0</v>
      </c>
      <c r="K247" s="1256">
        <f t="shared" si="79"/>
        <v>0</v>
      </c>
      <c r="L247" s="1256">
        <f t="shared" si="79"/>
        <v>0</v>
      </c>
    </row>
    <row r="248" spans="1:12" s="120" customFormat="1" ht="33.75" customHeight="1">
      <c r="A248" s="97">
        <v>733100</v>
      </c>
      <c r="B248" s="98" t="s">
        <v>309</v>
      </c>
      <c r="C248" s="999"/>
      <c r="D248" s="999"/>
      <c r="E248" s="999"/>
      <c r="F248" s="999"/>
      <c r="G248" s="999"/>
      <c r="H248" s="999"/>
      <c r="I248" s="999"/>
      <c r="J248" s="999"/>
      <c r="K248" s="999"/>
      <c r="L248" s="999"/>
    </row>
    <row r="249" spans="1:12" s="120" customFormat="1" ht="33.75" customHeight="1">
      <c r="A249" s="99">
        <v>733112</v>
      </c>
      <c r="B249" s="100" t="s">
        <v>310</v>
      </c>
      <c r="C249" s="1248">
        <v>0</v>
      </c>
      <c r="D249" s="1248"/>
      <c r="E249" s="1248"/>
      <c r="F249" s="991">
        <f>C249+D249-E249</f>
        <v>0</v>
      </c>
      <c r="G249" s="1248">
        <v>0</v>
      </c>
      <c r="H249" s="1248"/>
      <c r="I249" s="1248"/>
      <c r="J249" s="991">
        <f>G249+H249-I249</f>
        <v>0</v>
      </c>
      <c r="K249" s="1248">
        <f>C249+G249</f>
        <v>0</v>
      </c>
      <c r="L249" s="991">
        <f>F249+J249</f>
        <v>0</v>
      </c>
    </row>
    <row r="250" spans="1:12" s="120" customFormat="1" ht="33.75" customHeight="1">
      <c r="A250" s="118"/>
      <c r="B250" s="109" t="s">
        <v>311</v>
      </c>
      <c r="C250" s="1261">
        <f>SUM(C249)</f>
        <v>0</v>
      </c>
      <c r="D250" s="1261">
        <f aca="true" t="shared" si="80" ref="D250:L250">SUM(D249)</f>
        <v>0</v>
      </c>
      <c r="E250" s="1261">
        <f t="shared" si="80"/>
        <v>0</v>
      </c>
      <c r="F250" s="1261">
        <f t="shared" si="80"/>
        <v>0</v>
      </c>
      <c r="G250" s="1261">
        <f t="shared" si="80"/>
        <v>0</v>
      </c>
      <c r="H250" s="1261">
        <f t="shared" si="80"/>
        <v>0</v>
      </c>
      <c r="I250" s="1261">
        <f t="shared" si="80"/>
        <v>0</v>
      </c>
      <c r="J250" s="1261">
        <f t="shared" si="80"/>
        <v>0</v>
      </c>
      <c r="K250" s="1261">
        <f t="shared" si="80"/>
        <v>0</v>
      </c>
      <c r="L250" s="1261">
        <f t="shared" si="80"/>
        <v>0</v>
      </c>
    </row>
    <row r="251" spans="1:12" s="120" customFormat="1" ht="33.75" customHeight="1">
      <c r="A251" s="133"/>
      <c r="B251" s="116" t="s">
        <v>593</v>
      </c>
      <c r="C251" s="1243">
        <f>SUM(C250,C247,)</f>
        <v>0</v>
      </c>
      <c r="D251" s="1243">
        <f aca="true" t="shared" si="81" ref="D251:L251">SUM(D250,D247,)</f>
        <v>0</v>
      </c>
      <c r="E251" s="1243">
        <f t="shared" si="81"/>
        <v>0</v>
      </c>
      <c r="F251" s="1243">
        <f t="shared" si="81"/>
        <v>0</v>
      </c>
      <c r="G251" s="1243">
        <f t="shared" si="81"/>
        <v>0</v>
      </c>
      <c r="H251" s="1243">
        <f t="shared" si="81"/>
        <v>0</v>
      </c>
      <c r="I251" s="1243">
        <f t="shared" si="81"/>
        <v>0</v>
      </c>
      <c r="J251" s="1243">
        <f t="shared" si="81"/>
        <v>0</v>
      </c>
      <c r="K251" s="1243">
        <f t="shared" si="81"/>
        <v>0</v>
      </c>
      <c r="L251" s="1243">
        <f t="shared" si="81"/>
        <v>0</v>
      </c>
    </row>
    <row r="252" spans="1:12" s="120" customFormat="1" ht="57.75" customHeight="1" thickBot="1">
      <c r="A252" s="152"/>
      <c r="B252" s="156" t="s">
        <v>594</v>
      </c>
      <c r="C252" s="1246">
        <f>SUM(C251,C242,)</f>
        <v>0</v>
      </c>
      <c r="D252" s="1246">
        <f aca="true" t="shared" si="82" ref="D252:L252">SUM(D251,D242,)</f>
        <v>0</v>
      </c>
      <c r="E252" s="1246">
        <f t="shared" si="82"/>
        <v>0</v>
      </c>
      <c r="F252" s="1246">
        <f t="shared" si="82"/>
        <v>0</v>
      </c>
      <c r="G252" s="1246">
        <f t="shared" si="82"/>
        <v>75000</v>
      </c>
      <c r="H252" s="1246">
        <f t="shared" si="82"/>
        <v>0</v>
      </c>
      <c r="I252" s="1246">
        <f t="shared" si="82"/>
        <v>0</v>
      </c>
      <c r="J252" s="1246">
        <f t="shared" si="82"/>
        <v>75000</v>
      </c>
      <c r="K252" s="1246">
        <f t="shared" si="82"/>
        <v>75000</v>
      </c>
      <c r="L252" s="1246">
        <f t="shared" si="82"/>
        <v>75000</v>
      </c>
    </row>
    <row r="253" spans="1:12" s="120" customFormat="1" ht="33.75" customHeight="1">
      <c r="A253" s="169"/>
      <c r="B253" s="169"/>
      <c r="C253" s="170"/>
      <c r="D253" s="170"/>
      <c r="E253" s="170"/>
      <c r="F253" s="170"/>
      <c r="G253" s="170"/>
      <c r="H253" s="170"/>
      <c r="I253" s="170"/>
      <c r="J253" s="170"/>
      <c r="K253" s="170"/>
      <c r="L253" s="170"/>
    </row>
    <row r="254" spans="1:12" s="120" customFormat="1" ht="33.75" customHeight="1" thickBot="1">
      <c r="A254" s="169"/>
      <c r="B254" s="169"/>
      <c r="C254" s="170"/>
      <c r="D254" s="170"/>
      <c r="E254" s="170"/>
      <c r="F254" s="170"/>
      <c r="G254" s="170"/>
      <c r="H254" s="170"/>
      <c r="I254" s="170"/>
      <c r="J254" s="170"/>
      <c r="K254" s="170"/>
      <c r="L254" s="170"/>
    </row>
    <row r="255" spans="1:12" s="120" customFormat="1" ht="261.75" customHeight="1">
      <c r="A255" s="92" t="s">
        <v>323</v>
      </c>
      <c r="B255" s="93" t="s">
        <v>342</v>
      </c>
      <c r="C255" s="813" t="s">
        <v>1124</v>
      </c>
      <c r="D255" s="813" t="s">
        <v>1332</v>
      </c>
      <c r="E255" s="813" t="s">
        <v>1333</v>
      </c>
      <c r="F255" s="813" t="s">
        <v>1334</v>
      </c>
      <c r="G255" s="813" t="s">
        <v>1184</v>
      </c>
      <c r="H255" s="813" t="s">
        <v>1335</v>
      </c>
      <c r="I255" s="813" t="s">
        <v>1336</v>
      </c>
      <c r="J255" s="813" t="s">
        <v>1337</v>
      </c>
      <c r="K255" s="813" t="s">
        <v>1125</v>
      </c>
      <c r="L255" s="813" t="s">
        <v>1331</v>
      </c>
    </row>
    <row r="256" spans="1:12" s="120" customFormat="1" ht="19.5" customHeight="1">
      <c r="A256" s="94">
        <v>0</v>
      </c>
      <c r="B256" s="95">
        <v>1</v>
      </c>
      <c r="C256" s="1241">
        <v>2</v>
      </c>
      <c r="D256" s="1241">
        <v>3</v>
      </c>
      <c r="E256" s="1241">
        <v>4</v>
      </c>
      <c r="F256" s="1241">
        <v>5</v>
      </c>
      <c r="G256" s="1241">
        <v>6</v>
      </c>
      <c r="H256" s="1241">
        <v>7</v>
      </c>
      <c r="I256" s="1241">
        <v>8</v>
      </c>
      <c r="J256" s="1241">
        <v>9</v>
      </c>
      <c r="K256" s="1241">
        <v>10</v>
      </c>
      <c r="L256" s="990">
        <v>11</v>
      </c>
    </row>
    <row r="257" spans="1:12" s="120" customFormat="1" ht="36.75" customHeight="1">
      <c r="A257" s="175"/>
      <c r="B257" s="131" t="s">
        <v>466</v>
      </c>
      <c r="C257" s="1266"/>
      <c r="D257" s="1266"/>
      <c r="E257" s="1266"/>
      <c r="F257" s="1266"/>
      <c r="G257" s="1266"/>
      <c r="H257" s="1266"/>
      <c r="I257" s="1266"/>
      <c r="J257" s="1266"/>
      <c r="K257" s="1266"/>
      <c r="L257" s="998"/>
    </row>
    <row r="258" spans="1:12" s="120" customFormat="1" ht="27" customHeight="1">
      <c r="A258" s="96"/>
      <c r="B258" s="176" t="s">
        <v>465</v>
      </c>
      <c r="C258" s="165"/>
      <c r="D258" s="165"/>
      <c r="E258" s="165"/>
      <c r="F258" s="165"/>
      <c r="G258" s="165"/>
      <c r="H258" s="165"/>
      <c r="I258" s="165"/>
      <c r="J258" s="165"/>
      <c r="K258" s="165"/>
      <c r="L258" s="862"/>
    </row>
    <row r="259" spans="1:12" s="120" customFormat="1" ht="60" customHeight="1">
      <c r="A259" s="97">
        <v>720000</v>
      </c>
      <c r="B259" s="98" t="s">
        <v>629</v>
      </c>
      <c r="C259" s="165"/>
      <c r="D259" s="165"/>
      <c r="E259" s="165"/>
      <c r="F259" s="165"/>
      <c r="G259" s="165"/>
      <c r="H259" s="165"/>
      <c r="I259" s="165"/>
      <c r="J259" s="165"/>
      <c r="K259" s="165"/>
      <c r="L259" s="862"/>
    </row>
    <row r="260" spans="1:12" s="120" customFormat="1" ht="45" customHeight="1">
      <c r="A260" s="97">
        <v>721100</v>
      </c>
      <c r="B260" s="1148" t="s">
        <v>376</v>
      </c>
      <c r="C260" s="165"/>
      <c r="D260" s="165"/>
      <c r="E260" s="165"/>
      <c r="F260" s="165"/>
      <c r="G260" s="165"/>
      <c r="H260" s="165"/>
      <c r="I260" s="165"/>
      <c r="J260" s="165"/>
      <c r="K260" s="165"/>
      <c r="L260" s="862"/>
    </row>
    <row r="261" spans="1:12" s="120" customFormat="1" ht="32.25" customHeight="1">
      <c r="A261" s="99">
        <v>721122</v>
      </c>
      <c r="B261" s="100" t="s">
        <v>230</v>
      </c>
      <c r="C261" s="1248">
        <v>0</v>
      </c>
      <c r="D261" s="1248"/>
      <c r="E261" s="1248"/>
      <c r="F261" s="991">
        <f>C261+D261-E261</f>
        <v>0</v>
      </c>
      <c r="G261" s="1248">
        <v>8500</v>
      </c>
      <c r="H261" s="1248"/>
      <c r="I261" s="1248"/>
      <c r="J261" s="991">
        <f>G261+H261-I261</f>
        <v>8500</v>
      </c>
      <c r="K261" s="1248">
        <f>C261+G261</f>
        <v>8500</v>
      </c>
      <c r="L261" s="991">
        <f>F261+J261</f>
        <v>8500</v>
      </c>
    </row>
    <row r="262" spans="1:12" s="120" customFormat="1" ht="33" customHeight="1">
      <c r="A262" s="118"/>
      <c r="B262" s="109" t="s">
        <v>378</v>
      </c>
      <c r="C262" s="1243">
        <f>SUM(C261)</f>
        <v>0</v>
      </c>
      <c r="D262" s="1243">
        <f aca="true" t="shared" si="83" ref="D262:L262">SUM(D261)</f>
        <v>0</v>
      </c>
      <c r="E262" s="1243">
        <f t="shared" si="83"/>
        <v>0</v>
      </c>
      <c r="F262" s="1243">
        <f t="shared" si="83"/>
        <v>0</v>
      </c>
      <c r="G262" s="1243">
        <f t="shared" si="83"/>
        <v>8500</v>
      </c>
      <c r="H262" s="1243">
        <f t="shared" si="83"/>
        <v>0</v>
      </c>
      <c r="I262" s="1243">
        <f t="shared" si="83"/>
        <v>0</v>
      </c>
      <c r="J262" s="1243">
        <f t="shared" si="83"/>
        <v>8500</v>
      </c>
      <c r="K262" s="1243">
        <f t="shared" si="83"/>
        <v>8500</v>
      </c>
      <c r="L262" s="1243">
        <f t="shared" si="83"/>
        <v>8500</v>
      </c>
    </row>
    <row r="263" spans="1:12" s="120" customFormat="1" ht="51" customHeight="1">
      <c r="A263" s="97">
        <v>722600</v>
      </c>
      <c r="B263" s="1148" t="s">
        <v>625</v>
      </c>
      <c r="C263" s="165"/>
      <c r="D263" s="165"/>
      <c r="E263" s="165"/>
      <c r="F263" s="165"/>
      <c r="G263" s="165"/>
      <c r="H263" s="165"/>
      <c r="I263" s="165"/>
      <c r="J263" s="165"/>
      <c r="K263" s="165"/>
      <c r="L263" s="862"/>
    </row>
    <row r="264" spans="1:12" s="120" customFormat="1" ht="33.75" customHeight="1">
      <c r="A264" s="1334">
        <v>722611</v>
      </c>
      <c r="B264" s="1335" t="s">
        <v>628</v>
      </c>
      <c r="C264" s="1332">
        <v>0</v>
      </c>
      <c r="D264" s="1332"/>
      <c r="E264" s="1332"/>
      <c r="F264" s="1333">
        <f>C264+D264-E264</f>
        <v>0</v>
      </c>
      <c r="G264" s="1332">
        <v>2133300</v>
      </c>
      <c r="H264" s="1332"/>
      <c r="I264" s="1332">
        <v>100000</v>
      </c>
      <c r="J264" s="1333">
        <f>G264+H264-I264</f>
        <v>2033300</v>
      </c>
      <c r="K264" s="1332">
        <f>C264+G264</f>
        <v>2133300</v>
      </c>
      <c r="L264" s="1333">
        <f>F264+J264</f>
        <v>2033300</v>
      </c>
    </row>
    <row r="265" spans="1:12" s="120" customFormat="1" ht="33.75" customHeight="1">
      <c r="A265" s="121">
        <v>722612</v>
      </c>
      <c r="B265" s="150" t="s">
        <v>231</v>
      </c>
      <c r="C265" s="1248">
        <v>0</v>
      </c>
      <c r="D265" s="1248"/>
      <c r="E265" s="1248"/>
      <c r="F265" s="991">
        <f>C265+D265-E265</f>
        <v>0</v>
      </c>
      <c r="G265" s="1248">
        <v>5000</v>
      </c>
      <c r="H265" s="1248"/>
      <c r="I265" s="1248"/>
      <c r="J265" s="991">
        <f>G265+H265-I265</f>
        <v>5000</v>
      </c>
      <c r="K265" s="1248">
        <f>C265+G265</f>
        <v>5000</v>
      </c>
      <c r="L265" s="991">
        <f>F265+J265</f>
        <v>5000</v>
      </c>
    </row>
    <row r="266" spans="1:12" s="120" customFormat="1" ht="33.75" customHeight="1">
      <c r="A266" s="121">
        <v>722613</v>
      </c>
      <c r="B266" s="150" t="s">
        <v>232</v>
      </c>
      <c r="C266" s="1248">
        <v>0</v>
      </c>
      <c r="D266" s="1248"/>
      <c r="E266" s="1248"/>
      <c r="F266" s="991">
        <f>C266+D266-E266</f>
        <v>0</v>
      </c>
      <c r="G266" s="1248">
        <v>0</v>
      </c>
      <c r="H266" s="1248"/>
      <c r="I266" s="1248"/>
      <c r="J266" s="991">
        <f>G266+H266-I266</f>
        <v>0</v>
      </c>
      <c r="K266" s="1248">
        <f>C266+G266</f>
        <v>0</v>
      </c>
      <c r="L266" s="991">
        <f>F266+J266</f>
        <v>0</v>
      </c>
    </row>
    <row r="267" spans="1:12" s="120" customFormat="1" ht="39" customHeight="1">
      <c r="A267" s="167"/>
      <c r="B267" s="109" t="s">
        <v>415</v>
      </c>
      <c r="C267" s="1243">
        <f>SUM(C264:C266)</f>
        <v>0</v>
      </c>
      <c r="D267" s="1243">
        <f aca="true" t="shared" si="84" ref="D267:L267">SUM(D264:D266)</f>
        <v>0</v>
      </c>
      <c r="E267" s="1243">
        <f t="shared" si="84"/>
        <v>0</v>
      </c>
      <c r="F267" s="1243">
        <f t="shared" si="84"/>
        <v>0</v>
      </c>
      <c r="G267" s="1243">
        <f t="shared" si="84"/>
        <v>2138300</v>
      </c>
      <c r="H267" s="1243">
        <f t="shared" si="84"/>
        <v>0</v>
      </c>
      <c r="I267" s="1243">
        <f t="shared" si="84"/>
        <v>100000</v>
      </c>
      <c r="J267" s="1243">
        <f t="shared" si="84"/>
        <v>2038300</v>
      </c>
      <c r="K267" s="1243">
        <f t="shared" si="84"/>
        <v>2138300</v>
      </c>
      <c r="L267" s="1243">
        <f t="shared" si="84"/>
        <v>2038300</v>
      </c>
    </row>
    <row r="268" spans="1:12" s="120" customFormat="1" ht="33.75" customHeight="1">
      <c r="A268" s="110">
        <v>722700</v>
      </c>
      <c r="B268" s="116" t="s">
        <v>233</v>
      </c>
      <c r="C268" s="165"/>
      <c r="D268" s="165"/>
      <c r="E268" s="165"/>
      <c r="F268" s="165"/>
      <c r="G268" s="165"/>
      <c r="H268" s="165"/>
      <c r="I268" s="165"/>
      <c r="J268" s="165"/>
      <c r="K268" s="165"/>
      <c r="L268" s="862"/>
    </row>
    <row r="269" spans="1:12" s="120" customFormat="1" ht="33.75" customHeight="1">
      <c r="A269" s="121">
        <v>722761</v>
      </c>
      <c r="B269" s="150" t="s">
        <v>380</v>
      </c>
      <c r="C269" s="1248">
        <v>0</v>
      </c>
      <c r="D269" s="1248"/>
      <c r="E269" s="1248"/>
      <c r="F269" s="991">
        <f>C269+D269-E269</f>
        <v>0</v>
      </c>
      <c r="G269" s="1248">
        <v>35000</v>
      </c>
      <c r="H269" s="1248"/>
      <c r="I269" s="1248"/>
      <c r="J269" s="991">
        <f>G269+H269-I269</f>
        <v>35000</v>
      </c>
      <c r="K269" s="1248">
        <f>C269+G269</f>
        <v>35000</v>
      </c>
      <c r="L269" s="991">
        <f>F269+J269</f>
        <v>35000</v>
      </c>
    </row>
    <row r="270" spans="1:12" s="120" customFormat="1" ht="33.75" customHeight="1">
      <c r="A270" s="121">
        <v>722791</v>
      </c>
      <c r="B270" s="150" t="s">
        <v>537</v>
      </c>
      <c r="C270" s="1248">
        <v>0</v>
      </c>
      <c r="D270" s="1248"/>
      <c r="E270" s="1248"/>
      <c r="F270" s="991">
        <f>C270+D270-E270</f>
        <v>0</v>
      </c>
      <c r="G270" s="1248">
        <v>2000</v>
      </c>
      <c r="H270" s="1248"/>
      <c r="I270" s="1248"/>
      <c r="J270" s="991">
        <f>G270+H270-I270</f>
        <v>2000</v>
      </c>
      <c r="K270" s="1248">
        <f>C270+G270</f>
        <v>2000</v>
      </c>
      <c r="L270" s="991">
        <f>F270+J270</f>
        <v>2000</v>
      </c>
    </row>
    <row r="271" spans="1:12" s="120" customFormat="1" ht="42.75" customHeight="1">
      <c r="A271" s="167"/>
      <c r="B271" s="109" t="s">
        <v>421</v>
      </c>
      <c r="C271" s="1243">
        <f>SUM(C269,C270,)</f>
        <v>0</v>
      </c>
      <c r="D271" s="1243">
        <f aca="true" t="shared" si="85" ref="D271:L271">SUM(D269,D270,)</f>
        <v>0</v>
      </c>
      <c r="E271" s="1243">
        <f t="shared" si="85"/>
        <v>0</v>
      </c>
      <c r="F271" s="1243">
        <f t="shared" si="85"/>
        <v>0</v>
      </c>
      <c r="G271" s="1243">
        <f t="shared" si="85"/>
        <v>37000</v>
      </c>
      <c r="H271" s="1243">
        <f t="shared" si="85"/>
        <v>0</v>
      </c>
      <c r="I271" s="1243">
        <f t="shared" si="85"/>
        <v>0</v>
      </c>
      <c r="J271" s="1243">
        <f t="shared" si="85"/>
        <v>37000</v>
      </c>
      <c r="K271" s="1243">
        <f t="shared" si="85"/>
        <v>37000</v>
      </c>
      <c r="L271" s="1243">
        <f t="shared" si="85"/>
        <v>37000</v>
      </c>
    </row>
    <row r="272" spans="1:12" s="120" customFormat="1" ht="33.75" customHeight="1">
      <c r="A272" s="167"/>
      <c r="B272" s="109" t="s">
        <v>538</v>
      </c>
      <c r="C272" s="1243">
        <f>SUM(C267,C262,C271,)</f>
        <v>0</v>
      </c>
      <c r="D272" s="1243">
        <f aca="true" t="shared" si="86" ref="D272:L272">SUM(D267,D262,D271,)</f>
        <v>0</v>
      </c>
      <c r="E272" s="1243">
        <f t="shared" si="86"/>
        <v>0</v>
      </c>
      <c r="F272" s="1243">
        <f t="shared" si="86"/>
        <v>0</v>
      </c>
      <c r="G272" s="1243">
        <f t="shared" si="86"/>
        <v>2183800</v>
      </c>
      <c r="H272" s="1243">
        <f t="shared" si="86"/>
        <v>0</v>
      </c>
      <c r="I272" s="1243">
        <f t="shared" si="86"/>
        <v>100000</v>
      </c>
      <c r="J272" s="1243">
        <f t="shared" si="86"/>
        <v>2083800</v>
      </c>
      <c r="K272" s="1243">
        <f t="shared" si="86"/>
        <v>2183800</v>
      </c>
      <c r="L272" s="1243">
        <f t="shared" si="86"/>
        <v>2083800</v>
      </c>
    </row>
    <row r="273" spans="1:12" s="120" customFormat="1" ht="33.75" customHeight="1">
      <c r="A273" s="110">
        <v>732100</v>
      </c>
      <c r="B273" s="116" t="s">
        <v>44</v>
      </c>
      <c r="C273" s="165"/>
      <c r="D273" s="165"/>
      <c r="E273" s="165"/>
      <c r="F273" s="165"/>
      <c r="G273" s="165"/>
      <c r="H273" s="165"/>
      <c r="I273" s="165"/>
      <c r="J273" s="165"/>
      <c r="K273" s="165"/>
      <c r="L273" s="862"/>
    </row>
    <row r="274" spans="1:12" s="120" customFormat="1" ht="33.75" customHeight="1">
      <c r="A274" s="121">
        <v>732114</v>
      </c>
      <c r="B274" s="150" t="s">
        <v>328</v>
      </c>
      <c r="C274" s="1248">
        <v>0</v>
      </c>
      <c r="D274" s="1248"/>
      <c r="E274" s="1248"/>
      <c r="F274" s="991">
        <f>C274+D274-E274</f>
        <v>0</v>
      </c>
      <c r="G274" s="1248">
        <v>35118</v>
      </c>
      <c r="H274" s="1248"/>
      <c r="I274" s="1248"/>
      <c r="J274" s="991">
        <f>G274+H274-I274</f>
        <v>35118</v>
      </c>
      <c r="K274" s="1248">
        <f>C274+G274</f>
        <v>35118</v>
      </c>
      <c r="L274" s="991">
        <f>F274+J274</f>
        <v>35118</v>
      </c>
    </row>
    <row r="275" spans="1:12" s="120" customFormat="1" ht="39.75" customHeight="1">
      <c r="A275" s="110"/>
      <c r="B275" s="109" t="s">
        <v>453</v>
      </c>
      <c r="C275" s="1243">
        <f>SUM(C274:C274)</f>
        <v>0</v>
      </c>
      <c r="D275" s="1243">
        <f aca="true" t="shared" si="87" ref="D275:L275">SUM(D274:D274)</f>
        <v>0</v>
      </c>
      <c r="E275" s="1243">
        <f t="shared" si="87"/>
        <v>0</v>
      </c>
      <c r="F275" s="1243">
        <f t="shared" si="87"/>
        <v>0</v>
      </c>
      <c r="G275" s="1243">
        <f t="shared" si="87"/>
        <v>35118</v>
      </c>
      <c r="H275" s="1243">
        <f t="shared" si="87"/>
        <v>0</v>
      </c>
      <c r="I275" s="1243">
        <f t="shared" si="87"/>
        <v>0</v>
      </c>
      <c r="J275" s="1243">
        <f t="shared" si="87"/>
        <v>35118</v>
      </c>
      <c r="K275" s="1243">
        <f t="shared" si="87"/>
        <v>35118</v>
      </c>
      <c r="L275" s="1243">
        <f t="shared" si="87"/>
        <v>35118</v>
      </c>
    </row>
    <row r="276" spans="1:12" s="120" customFormat="1" ht="39.75" customHeight="1">
      <c r="A276" s="110">
        <v>733100</v>
      </c>
      <c r="B276" s="116" t="s">
        <v>309</v>
      </c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</row>
    <row r="277" spans="1:12" s="120" customFormat="1" ht="39.75" customHeight="1">
      <c r="A277" s="99">
        <v>733112</v>
      </c>
      <c r="B277" s="100" t="s">
        <v>310</v>
      </c>
      <c r="C277" s="1090">
        <v>0</v>
      </c>
      <c r="D277" s="1090"/>
      <c r="E277" s="1090"/>
      <c r="F277" s="1090">
        <f>C277+D277-E277</f>
        <v>0</v>
      </c>
      <c r="G277" s="1090">
        <v>1947.6</v>
      </c>
      <c r="H277" s="1261"/>
      <c r="I277" s="1261"/>
      <c r="J277" s="991">
        <f>G277+H277-I277</f>
        <v>1947.6</v>
      </c>
      <c r="K277" s="1248">
        <f>C277+G277</f>
        <v>1947.6</v>
      </c>
      <c r="L277" s="991">
        <f>F277+J277</f>
        <v>1947.6</v>
      </c>
    </row>
    <row r="278" spans="1:12" s="120" customFormat="1" ht="39.75" customHeight="1">
      <c r="A278" s="110"/>
      <c r="B278" s="109" t="s">
        <v>311</v>
      </c>
      <c r="C278" s="1243">
        <f>SUM(C277)</f>
        <v>0</v>
      </c>
      <c r="D278" s="1243">
        <f aca="true" t="shared" si="88" ref="D278:L278">SUM(D277)</f>
        <v>0</v>
      </c>
      <c r="E278" s="1243">
        <f t="shared" si="88"/>
        <v>0</v>
      </c>
      <c r="F278" s="1243">
        <f t="shared" si="88"/>
        <v>0</v>
      </c>
      <c r="G278" s="1243">
        <f t="shared" si="88"/>
        <v>1947.6</v>
      </c>
      <c r="H278" s="1243">
        <f t="shared" si="88"/>
        <v>0</v>
      </c>
      <c r="I278" s="1243">
        <f t="shared" si="88"/>
        <v>0</v>
      </c>
      <c r="J278" s="1243">
        <f t="shared" si="88"/>
        <v>1947.6</v>
      </c>
      <c r="K278" s="1243">
        <f t="shared" si="88"/>
        <v>1947.6</v>
      </c>
      <c r="L278" s="1243">
        <f t="shared" si="88"/>
        <v>1947.6</v>
      </c>
    </row>
    <row r="279" spans="1:12" s="120" customFormat="1" ht="33.75" customHeight="1">
      <c r="A279" s="171"/>
      <c r="B279" s="116" t="s">
        <v>593</v>
      </c>
      <c r="C279" s="1243">
        <f>SUM(C275,C278,)</f>
        <v>0</v>
      </c>
      <c r="D279" s="1243">
        <f aca="true" t="shared" si="89" ref="D279:L279">SUM(D275,D278,)</f>
        <v>0</v>
      </c>
      <c r="E279" s="1243">
        <f t="shared" si="89"/>
        <v>0</v>
      </c>
      <c r="F279" s="1243">
        <f t="shared" si="89"/>
        <v>0</v>
      </c>
      <c r="G279" s="1243">
        <f t="shared" si="89"/>
        <v>37065.6</v>
      </c>
      <c r="H279" s="1243">
        <f t="shared" si="89"/>
        <v>0</v>
      </c>
      <c r="I279" s="1243">
        <f t="shared" si="89"/>
        <v>0</v>
      </c>
      <c r="J279" s="1243">
        <f t="shared" si="89"/>
        <v>37065.6</v>
      </c>
      <c r="K279" s="1243">
        <f t="shared" si="89"/>
        <v>37065.6</v>
      </c>
      <c r="L279" s="1243">
        <f t="shared" si="89"/>
        <v>37065.6</v>
      </c>
    </row>
    <row r="280" spans="1:12" s="120" customFormat="1" ht="33.75" customHeight="1">
      <c r="A280" s="110">
        <v>740000</v>
      </c>
      <c r="B280" s="853" t="s">
        <v>968</v>
      </c>
      <c r="C280" s="999"/>
      <c r="D280" s="999"/>
      <c r="E280" s="999"/>
      <c r="F280" s="999"/>
      <c r="G280" s="999"/>
      <c r="H280" s="999"/>
      <c r="I280" s="999"/>
      <c r="J280" s="999"/>
      <c r="K280" s="999"/>
      <c r="L280" s="956"/>
    </row>
    <row r="281" spans="1:12" s="120" customFormat="1" ht="33.75" customHeight="1">
      <c r="A281" s="97">
        <v>741100</v>
      </c>
      <c r="B281" s="849" t="s">
        <v>753</v>
      </c>
      <c r="C281" s="999"/>
      <c r="D281" s="999"/>
      <c r="E281" s="999"/>
      <c r="F281" s="999"/>
      <c r="G281" s="999"/>
      <c r="H281" s="999"/>
      <c r="I281" s="999"/>
      <c r="J281" s="999"/>
      <c r="K281" s="999"/>
      <c r="L281" s="956"/>
    </row>
    <row r="282" spans="1:12" s="120" customFormat="1" ht="33.75" customHeight="1">
      <c r="A282" s="121">
        <v>741111</v>
      </c>
      <c r="B282" s="122" t="s">
        <v>64</v>
      </c>
      <c r="C282" s="1267">
        <v>0</v>
      </c>
      <c r="D282" s="1267"/>
      <c r="E282" s="1267"/>
      <c r="F282" s="991">
        <f>C282+D282-E282</f>
        <v>0</v>
      </c>
      <c r="G282" s="1267">
        <v>0</v>
      </c>
      <c r="H282" s="1255"/>
      <c r="I282" s="1255"/>
      <c r="J282" s="991">
        <f>G282+H282-I282</f>
        <v>0</v>
      </c>
      <c r="K282" s="1225">
        <f>C282+G282</f>
        <v>0</v>
      </c>
      <c r="L282" s="991">
        <f>F282+J282</f>
        <v>0</v>
      </c>
    </row>
    <row r="283" spans="1:12" s="120" customFormat="1" ht="33.75" customHeight="1">
      <c r="A283" s="105"/>
      <c r="B283" s="109" t="s">
        <v>43</v>
      </c>
      <c r="C283" s="1243">
        <f>SUM(C282)</f>
        <v>0</v>
      </c>
      <c r="D283" s="1243">
        <f aca="true" t="shared" si="90" ref="D283:L283">SUM(D282)</f>
        <v>0</v>
      </c>
      <c r="E283" s="1243">
        <f t="shared" si="90"/>
        <v>0</v>
      </c>
      <c r="F283" s="1243">
        <f t="shared" si="90"/>
        <v>0</v>
      </c>
      <c r="G283" s="1243">
        <f t="shared" si="90"/>
        <v>0</v>
      </c>
      <c r="H283" s="1243">
        <f t="shared" si="90"/>
        <v>0</v>
      </c>
      <c r="I283" s="1243">
        <f t="shared" si="90"/>
        <v>0</v>
      </c>
      <c r="J283" s="1243">
        <f t="shared" si="90"/>
        <v>0</v>
      </c>
      <c r="K283" s="1243">
        <f t="shared" si="90"/>
        <v>0</v>
      </c>
      <c r="L283" s="1243">
        <f t="shared" si="90"/>
        <v>0</v>
      </c>
    </row>
    <row r="284" spans="1:12" s="120" customFormat="1" ht="33.75" customHeight="1">
      <c r="A284" s="97">
        <v>742100</v>
      </c>
      <c r="B284" s="849" t="s">
        <v>754</v>
      </c>
      <c r="C284" s="999"/>
      <c r="D284" s="999"/>
      <c r="E284" s="999"/>
      <c r="F284" s="999"/>
      <c r="G284" s="999"/>
      <c r="H284" s="999"/>
      <c r="I284" s="999"/>
      <c r="J284" s="999"/>
      <c r="K284" s="999"/>
      <c r="L284" s="956"/>
    </row>
    <row r="285" spans="1:12" s="120" customFormat="1" ht="33.75" customHeight="1">
      <c r="A285" s="121">
        <v>742114</v>
      </c>
      <c r="B285" s="858" t="s">
        <v>711</v>
      </c>
      <c r="C285" s="1248">
        <v>0</v>
      </c>
      <c r="D285" s="1248"/>
      <c r="E285" s="1248"/>
      <c r="F285" s="991">
        <f>C285+D285-E285</f>
        <v>0</v>
      </c>
      <c r="G285" s="1248">
        <v>56181</v>
      </c>
      <c r="H285" s="1248"/>
      <c r="I285" s="1248"/>
      <c r="J285" s="991">
        <f>G285+H285-I285</f>
        <v>56181</v>
      </c>
      <c r="K285" s="1248">
        <f>C285+G285</f>
        <v>56181</v>
      </c>
      <c r="L285" s="991">
        <f>F285+J285</f>
        <v>56181</v>
      </c>
    </row>
    <row r="286" spans="1:12" s="120" customFormat="1" ht="33.75" customHeight="1">
      <c r="A286" s="99"/>
      <c r="B286" s="851" t="s">
        <v>210</v>
      </c>
      <c r="C286" s="117">
        <f>SUM(C285)</f>
        <v>0</v>
      </c>
      <c r="D286" s="117">
        <f aca="true" t="shared" si="91" ref="D286:L286">SUM(D285)</f>
        <v>0</v>
      </c>
      <c r="E286" s="117">
        <f t="shared" si="91"/>
        <v>0</v>
      </c>
      <c r="F286" s="117">
        <f t="shared" si="91"/>
        <v>0</v>
      </c>
      <c r="G286" s="117">
        <f t="shared" si="91"/>
        <v>56181</v>
      </c>
      <c r="H286" s="117">
        <f t="shared" si="91"/>
        <v>0</v>
      </c>
      <c r="I286" s="117">
        <f t="shared" si="91"/>
        <v>0</v>
      </c>
      <c r="J286" s="117">
        <f t="shared" si="91"/>
        <v>56181</v>
      </c>
      <c r="K286" s="117">
        <f t="shared" si="91"/>
        <v>56181</v>
      </c>
      <c r="L286" s="117">
        <f t="shared" si="91"/>
        <v>56181</v>
      </c>
    </row>
    <row r="287" spans="1:12" s="120" customFormat="1" ht="33.75" customHeight="1">
      <c r="A287" s="105"/>
      <c r="B287" s="957" t="s">
        <v>942</v>
      </c>
      <c r="C287" s="117">
        <f>SUM(C286,C283,)</f>
        <v>0</v>
      </c>
      <c r="D287" s="117">
        <f aca="true" t="shared" si="92" ref="D287:L287">SUM(D286,D283,)</f>
        <v>0</v>
      </c>
      <c r="E287" s="117">
        <f t="shared" si="92"/>
        <v>0</v>
      </c>
      <c r="F287" s="117">
        <f t="shared" si="92"/>
        <v>0</v>
      </c>
      <c r="G287" s="117">
        <f t="shared" si="92"/>
        <v>56181</v>
      </c>
      <c r="H287" s="117">
        <f t="shared" si="92"/>
        <v>0</v>
      </c>
      <c r="I287" s="117">
        <f t="shared" si="92"/>
        <v>0</v>
      </c>
      <c r="J287" s="117">
        <f t="shared" si="92"/>
        <v>56181</v>
      </c>
      <c r="K287" s="117">
        <f t="shared" si="92"/>
        <v>56181</v>
      </c>
      <c r="L287" s="117">
        <f t="shared" si="92"/>
        <v>56181</v>
      </c>
    </row>
    <row r="288" spans="1:12" s="120" customFormat="1" ht="48.75" customHeight="1" thickBot="1">
      <c r="A288" s="152"/>
      <c r="B288" s="840" t="s">
        <v>1078</v>
      </c>
      <c r="C288" s="1246">
        <f>SUM(C279,C272,C287,)</f>
        <v>0</v>
      </c>
      <c r="D288" s="1246">
        <f aca="true" t="shared" si="93" ref="D288:L288">SUM(D279,D272,D287,)</f>
        <v>0</v>
      </c>
      <c r="E288" s="1246">
        <f t="shared" si="93"/>
        <v>0</v>
      </c>
      <c r="F288" s="1246">
        <f t="shared" si="93"/>
        <v>0</v>
      </c>
      <c r="G288" s="1246">
        <f t="shared" si="93"/>
        <v>2277046.6</v>
      </c>
      <c r="H288" s="1246">
        <f t="shared" si="93"/>
        <v>0</v>
      </c>
      <c r="I288" s="1246">
        <f t="shared" si="93"/>
        <v>100000</v>
      </c>
      <c r="J288" s="1246">
        <f t="shared" si="93"/>
        <v>2177046.6</v>
      </c>
      <c r="K288" s="1246">
        <f t="shared" si="93"/>
        <v>2277046.6</v>
      </c>
      <c r="L288" s="1246">
        <f t="shared" si="93"/>
        <v>2177046.6</v>
      </c>
    </row>
    <row r="289" spans="1:12" s="120" customFormat="1" ht="33.75" customHeight="1">
      <c r="A289" s="169"/>
      <c r="B289" s="169"/>
      <c r="C289" s="170"/>
      <c r="D289" s="170"/>
      <c r="E289" s="170"/>
      <c r="F289" s="170"/>
      <c r="G289" s="170"/>
      <c r="H289" s="170"/>
      <c r="I289" s="170"/>
      <c r="J289" s="170"/>
      <c r="K289" s="170"/>
      <c r="L289" s="170"/>
    </row>
    <row r="290" spans="1:12" s="120" customFormat="1" ht="33.75" customHeight="1" thickBot="1">
      <c r="A290" s="169"/>
      <c r="B290" s="169"/>
      <c r="C290" s="170"/>
      <c r="D290" s="170"/>
      <c r="E290" s="170"/>
      <c r="F290" s="170"/>
      <c r="G290" s="170"/>
      <c r="H290" s="170"/>
      <c r="I290" s="170"/>
      <c r="J290" s="170"/>
      <c r="K290" s="170"/>
      <c r="L290" s="170"/>
    </row>
    <row r="291" spans="1:12" s="120" customFormat="1" ht="261" customHeight="1">
      <c r="A291" s="92" t="s">
        <v>323</v>
      </c>
      <c r="B291" s="93" t="s">
        <v>342</v>
      </c>
      <c r="C291" s="813" t="s">
        <v>1124</v>
      </c>
      <c r="D291" s="813" t="s">
        <v>1332</v>
      </c>
      <c r="E291" s="813" t="s">
        <v>1333</v>
      </c>
      <c r="F291" s="813" t="s">
        <v>1334</v>
      </c>
      <c r="G291" s="813" t="s">
        <v>1184</v>
      </c>
      <c r="H291" s="813" t="s">
        <v>1335</v>
      </c>
      <c r="I291" s="813" t="s">
        <v>1336</v>
      </c>
      <c r="J291" s="813" t="s">
        <v>1337</v>
      </c>
      <c r="K291" s="813" t="s">
        <v>1125</v>
      </c>
      <c r="L291" s="813" t="s">
        <v>1331</v>
      </c>
    </row>
    <row r="292" spans="1:12" s="120" customFormat="1" ht="19.5" customHeight="1">
      <c r="A292" s="94">
        <v>0</v>
      </c>
      <c r="B292" s="95">
        <v>1</v>
      </c>
      <c r="C292" s="1241">
        <v>2</v>
      </c>
      <c r="D292" s="1241">
        <v>3</v>
      </c>
      <c r="E292" s="1241">
        <v>4</v>
      </c>
      <c r="F292" s="1241">
        <v>5</v>
      </c>
      <c r="G292" s="1241">
        <v>6</v>
      </c>
      <c r="H292" s="1241">
        <v>7</v>
      </c>
      <c r="I292" s="1241">
        <v>8</v>
      </c>
      <c r="J292" s="1241">
        <v>9</v>
      </c>
      <c r="K292" s="1241">
        <v>10</v>
      </c>
      <c r="L292" s="990">
        <v>11</v>
      </c>
    </row>
    <row r="293" spans="1:12" s="120" customFormat="1" ht="45.75" customHeight="1">
      <c r="A293" s="171"/>
      <c r="B293" s="131" t="s">
        <v>595</v>
      </c>
      <c r="C293" s="1264"/>
      <c r="D293" s="1264"/>
      <c r="E293" s="1264"/>
      <c r="F293" s="1264"/>
      <c r="G293" s="1264"/>
      <c r="H293" s="1264"/>
      <c r="I293" s="1264"/>
      <c r="J293" s="1264"/>
      <c r="K293" s="1264"/>
      <c r="L293" s="997"/>
    </row>
    <row r="294" spans="1:12" s="120" customFormat="1" ht="39.75" customHeight="1">
      <c r="A294" s="97">
        <v>720000</v>
      </c>
      <c r="B294" s="98" t="s">
        <v>629</v>
      </c>
      <c r="C294" s="165"/>
      <c r="D294" s="165"/>
      <c r="E294" s="165"/>
      <c r="F294" s="165"/>
      <c r="G294" s="165"/>
      <c r="H294" s="165"/>
      <c r="I294" s="165"/>
      <c r="J294" s="165"/>
      <c r="K294" s="165"/>
      <c r="L294" s="862"/>
    </row>
    <row r="295" spans="1:12" s="120" customFormat="1" ht="42.75" customHeight="1">
      <c r="A295" s="97">
        <v>721100</v>
      </c>
      <c r="B295" s="1148" t="s">
        <v>376</v>
      </c>
      <c r="C295" s="165"/>
      <c r="D295" s="165"/>
      <c r="E295" s="165"/>
      <c r="F295" s="165"/>
      <c r="G295" s="165"/>
      <c r="H295" s="165"/>
      <c r="I295" s="165"/>
      <c r="J295" s="165"/>
      <c r="K295" s="165"/>
      <c r="L295" s="862"/>
    </row>
    <row r="296" spans="1:12" s="120" customFormat="1" ht="33.75" customHeight="1">
      <c r="A296" s="121">
        <v>721129</v>
      </c>
      <c r="B296" s="150" t="s">
        <v>234</v>
      </c>
      <c r="C296" s="1248">
        <v>0</v>
      </c>
      <c r="D296" s="1248"/>
      <c r="E296" s="1248"/>
      <c r="F296" s="991">
        <f>C296+D296-E296</f>
        <v>0</v>
      </c>
      <c r="G296" s="1248">
        <v>242000</v>
      </c>
      <c r="H296" s="1248"/>
      <c r="I296" s="1248"/>
      <c r="J296" s="991">
        <f>G296+H296-I296</f>
        <v>242000</v>
      </c>
      <c r="K296" s="1248">
        <f>C296+G296</f>
        <v>242000</v>
      </c>
      <c r="L296" s="991">
        <f>F296+J296</f>
        <v>242000</v>
      </c>
    </row>
    <row r="297" spans="1:12" s="120" customFormat="1" ht="33.75" customHeight="1">
      <c r="A297" s="167"/>
      <c r="B297" s="109" t="s">
        <v>378</v>
      </c>
      <c r="C297" s="1243">
        <f>SUM(C296)</f>
        <v>0</v>
      </c>
      <c r="D297" s="1243">
        <f aca="true" t="shared" si="94" ref="D297:L297">SUM(D296)</f>
        <v>0</v>
      </c>
      <c r="E297" s="1243">
        <f t="shared" si="94"/>
        <v>0</v>
      </c>
      <c r="F297" s="1243">
        <f t="shared" si="94"/>
        <v>0</v>
      </c>
      <c r="G297" s="1243">
        <f t="shared" si="94"/>
        <v>242000</v>
      </c>
      <c r="H297" s="1243">
        <f t="shared" si="94"/>
        <v>0</v>
      </c>
      <c r="I297" s="1243">
        <f t="shared" si="94"/>
        <v>0</v>
      </c>
      <c r="J297" s="1243">
        <f t="shared" si="94"/>
        <v>242000</v>
      </c>
      <c r="K297" s="1243">
        <f t="shared" si="94"/>
        <v>242000</v>
      </c>
      <c r="L297" s="1243">
        <f t="shared" si="94"/>
        <v>242000</v>
      </c>
    </row>
    <row r="298" spans="1:12" s="120" customFormat="1" ht="33.75" customHeight="1">
      <c r="A298" s="167"/>
      <c r="B298" s="109" t="s">
        <v>538</v>
      </c>
      <c r="C298" s="1243">
        <f>SUM(C297)</f>
        <v>0</v>
      </c>
      <c r="D298" s="1243">
        <f aca="true" t="shared" si="95" ref="D298:L298">SUM(D297)</f>
        <v>0</v>
      </c>
      <c r="E298" s="1243">
        <f t="shared" si="95"/>
        <v>0</v>
      </c>
      <c r="F298" s="1243">
        <f t="shared" si="95"/>
        <v>0</v>
      </c>
      <c r="G298" s="1243">
        <f t="shared" si="95"/>
        <v>242000</v>
      </c>
      <c r="H298" s="1243">
        <f t="shared" si="95"/>
        <v>0</v>
      </c>
      <c r="I298" s="1243">
        <f t="shared" si="95"/>
        <v>0</v>
      </c>
      <c r="J298" s="1243">
        <f t="shared" si="95"/>
        <v>242000</v>
      </c>
      <c r="K298" s="1243">
        <f t="shared" si="95"/>
        <v>242000</v>
      </c>
      <c r="L298" s="1243">
        <f t="shared" si="95"/>
        <v>242000</v>
      </c>
    </row>
    <row r="299" spans="1:12" s="120" customFormat="1" ht="33.75" customHeight="1">
      <c r="A299" s="110">
        <v>730000</v>
      </c>
      <c r="B299" s="116" t="s">
        <v>539</v>
      </c>
      <c r="C299" s="165"/>
      <c r="D299" s="165"/>
      <c r="E299" s="165"/>
      <c r="F299" s="165"/>
      <c r="G299" s="165"/>
      <c r="H299" s="165"/>
      <c r="I299" s="165"/>
      <c r="J299" s="165"/>
      <c r="K299" s="165"/>
      <c r="L299" s="862"/>
    </row>
    <row r="300" spans="1:12" s="120" customFormat="1" ht="33.75" customHeight="1">
      <c r="A300" s="114">
        <v>732100</v>
      </c>
      <c r="B300" s="172" t="s">
        <v>338</v>
      </c>
      <c r="C300" s="1258"/>
      <c r="D300" s="1258"/>
      <c r="E300" s="1258"/>
      <c r="F300" s="1258"/>
      <c r="G300" s="1258"/>
      <c r="H300" s="1258"/>
      <c r="I300" s="1258"/>
      <c r="J300" s="1258"/>
      <c r="K300" s="1258"/>
      <c r="L300" s="1000"/>
    </row>
    <row r="301" spans="1:12" s="120" customFormat="1" ht="33.75" customHeight="1">
      <c r="A301" s="121">
        <v>732114</v>
      </c>
      <c r="B301" s="150" t="s">
        <v>328</v>
      </c>
      <c r="C301" s="1248">
        <v>0</v>
      </c>
      <c r="D301" s="1248"/>
      <c r="E301" s="1248"/>
      <c r="F301" s="991">
        <f>C301+D301-E301</f>
        <v>0</v>
      </c>
      <c r="G301" s="1248">
        <v>10000</v>
      </c>
      <c r="H301" s="1248"/>
      <c r="I301" s="1248"/>
      <c r="J301" s="991">
        <f>G301+H301-I301</f>
        <v>10000</v>
      </c>
      <c r="K301" s="1248">
        <f>C301+G301</f>
        <v>10000</v>
      </c>
      <c r="L301" s="991">
        <f>F301+J301</f>
        <v>10000</v>
      </c>
    </row>
    <row r="302" spans="1:12" s="120" customFormat="1" ht="33.75" customHeight="1">
      <c r="A302" s="167"/>
      <c r="B302" s="109" t="s">
        <v>453</v>
      </c>
      <c r="C302" s="1243">
        <f>SUM(C301)</f>
        <v>0</v>
      </c>
      <c r="D302" s="1243">
        <f aca="true" t="shared" si="96" ref="D302:L302">SUM(D301)</f>
        <v>0</v>
      </c>
      <c r="E302" s="1243">
        <f t="shared" si="96"/>
        <v>0</v>
      </c>
      <c r="F302" s="1243">
        <f t="shared" si="96"/>
        <v>0</v>
      </c>
      <c r="G302" s="1243">
        <f t="shared" si="96"/>
        <v>10000</v>
      </c>
      <c r="H302" s="1243">
        <f t="shared" si="96"/>
        <v>0</v>
      </c>
      <c r="I302" s="1243">
        <f t="shared" si="96"/>
        <v>0</v>
      </c>
      <c r="J302" s="1243">
        <f t="shared" si="96"/>
        <v>10000</v>
      </c>
      <c r="K302" s="1243">
        <f t="shared" si="96"/>
        <v>10000</v>
      </c>
      <c r="L302" s="1243">
        <f t="shared" si="96"/>
        <v>10000</v>
      </c>
    </row>
    <row r="303" spans="1:12" s="120" customFormat="1" ht="33.75" customHeight="1">
      <c r="A303" s="171"/>
      <c r="B303" s="116" t="s">
        <v>593</v>
      </c>
      <c r="C303" s="117">
        <f>SUM(C302,)</f>
        <v>0</v>
      </c>
      <c r="D303" s="117">
        <f aca="true" t="shared" si="97" ref="D303:L303">SUM(D302,)</f>
        <v>0</v>
      </c>
      <c r="E303" s="117">
        <f t="shared" si="97"/>
        <v>0</v>
      </c>
      <c r="F303" s="117">
        <f t="shared" si="97"/>
        <v>0</v>
      </c>
      <c r="G303" s="117">
        <f t="shared" si="97"/>
        <v>10000</v>
      </c>
      <c r="H303" s="117">
        <f t="shared" si="97"/>
        <v>0</v>
      </c>
      <c r="I303" s="117">
        <f t="shared" si="97"/>
        <v>0</v>
      </c>
      <c r="J303" s="117">
        <f t="shared" si="97"/>
        <v>10000</v>
      </c>
      <c r="K303" s="117">
        <f t="shared" si="97"/>
        <v>10000</v>
      </c>
      <c r="L303" s="117">
        <f t="shared" si="97"/>
        <v>10000</v>
      </c>
    </row>
    <row r="304" spans="1:12" s="120" customFormat="1" ht="56.25" customHeight="1" thickBot="1">
      <c r="A304" s="152"/>
      <c r="B304" s="156" t="s">
        <v>596</v>
      </c>
      <c r="C304" s="1246">
        <f>SUM(C298,C303,)</f>
        <v>0</v>
      </c>
      <c r="D304" s="1246">
        <f aca="true" t="shared" si="98" ref="D304:L304">SUM(D298,D303,)</f>
        <v>0</v>
      </c>
      <c r="E304" s="1246">
        <f t="shared" si="98"/>
        <v>0</v>
      </c>
      <c r="F304" s="1246">
        <f t="shared" si="98"/>
        <v>0</v>
      </c>
      <c r="G304" s="1246">
        <f t="shared" si="98"/>
        <v>252000</v>
      </c>
      <c r="H304" s="1246">
        <f t="shared" si="98"/>
        <v>0</v>
      </c>
      <c r="I304" s="1246">
        <f t="shared" si="98"/>
        <v>0</v>
      </c>
      <c r="J304" s="1246">
        <f t="shared" si="98"/>
        <v>252000</v>
      </c>
      <c r="K304" s="1246">
        <f t="shared" si="98"/>
        <v>252000</v>
      </c>
      <c r="L304" s="1246">
        <f t="shared" si="98"/>
        <v>252000</v>
      </c>
    </row>
    <row r="305" spans="1:12" s="120" customFormat="1" ht="264" customHeight="1">
      <c r="A305" s="92" t="s">
        <v>323</v>
      </c>
      <c r="B305" s="93" t="s">
        <v>342</v>
      </c>
      <c r="C305" s="813" t="s">
        <v>1124</v>
      </c>
      <c r="D305" s="813" t="s">
        <v>1332</v>
      </c>
      <c r="E305" s="813" t="s">
        <v>1333</v>
      </c>
      <c r="F305" s="813" t="s">
        <v>1334</v>
      </c>
      <c r="G305" s="813" t="s">
        <v>1184</v>
      </c>
      <c r="H305" s="813" t="s">
        <v>1335</v>
      </c>
      <c r="I305" s="813" t="s">
        <v>1336</v>
      </c>
      <c r="J305" s="813" t="s">
        <v>1337</v>
      </c>
      <c r="K305" s="813" t="s">
        <v>1125</v>
      </c>
      <c r="L305" s="813" t="s">
        <v>1331</v>
      </c>
    </row>
    <row r="306" spans="1:12" s="120" customFormat="1" ht="24.75" customHeight="1">
      <c r="A306" s="94">
        <v>0</v>
      </c>
      <c r="B306" s="95">
        <v>1</v>
      </c>
      <c r="C306" s="1241">
        <v>2</v>
      </c>
      <c r="D306" s="1241">
        <v>3</v>
      </c>
      <c r="E306" s="1241">
        <v>4</v>
      </c>
      <c r="F306" s="1241">
        <v>5</v>
      </c>
      <c r="G306" s="1241">
        <v>6</v>
      </c>
      <c r="H306" s="1241">
        <v>7</v>
      </c>
      <c r="I306" s="1241">
        <v>8</v>
      </c>
      <c r="J306" s="1241">
        <v>9</v>
      </c>
      <c r="K306" s="1241">
        <v>10</v>
      </c>
      <c r="L306" s="990">
        <v>11</v>
      </c>
    </row>
    <row r="307" spans="1:12" s="120" customFormat="1" ht="56.25" customHeight="1">
      <c r="A307" s="171"/>
      <c r="B307" s="173" t="s">
        <v>842</v>
      </c>
      <c r="C307" s="1264"/>
      <c r="D307" s="1264"/>
      <c r="E307" s="1264"/>
      <c r="F307" s="1264"/>
      <c r="G307" s="1264"/>
      <c r="H307" s="1264"/>
      <c r="I307" s="1264"/>
      <c r="J307" s="1264"/>
      <c r="K307" s="1264"/>
      <c r="L307" s="997"/>
    </row>
    <row r="308" spans="1:12" s="120" customFormat="1" ht="56.25" customHeight="1">
      <c r="A308" s="97">
        <v>720000</v>
      </c>
      <c r="B308" s="98" t="s">
        <v>629</v>
      </c>
      <c r="C308" s="165"/>
      <c r="D308" s="165"/>
      <c r="E308" s="165"/>
      <c r="F308" s="165"/>
      <c r="G308" s="165"/>
      <c r="H308" s="165"/>
      <c r="I308" s="165"/>
      <c r="J308" s="165"/>
      <c r="K308" s="165"/>
      <c r="L308" s="862"/>
    </row>
    <row r="309" spans="1:12" s="120" customFormat="1" ht="56.25" customHeight="1">
      <c r="A309" s="97">
        <v>721100</v>
      </c>
      <c r="B309" s="1148" t="s">
        <v>376</v>
      </c>
      <c r="C309" s="165"/>
      <c r="D309" s="165"/>
      <c r="E309" s="165"/>
      <c r="F309" s="165"/>
      <c r="G309" s="165"/>
      <c r="H309" s="165"/>
      <c r="I309" s="165"/>
      <c r="J309" s="165"/>
      <c r="K309" s="165"/>
      <c r="L309" s="862"/>
    </row>
    <row r="310" spans="1:12" s="120" customFormat="1" ht="11.25" customHeight="1">
      <c r="A310" s="114"/>
      <c r="B310" s="174"/>
      <c r="C310" s="165"/>
      <c r="D310" s="165"/>
      <c r="E310" s="165"/>
      <c r="F310" s="165"/>
      <c r="G310" s="165"/>
      <c r="H310" s="165"/>
      <c r="I310" s="165"/>
      <c r="J310" s="165"/>
      <c r="K310" s="165"/>
      <c r="L310" s="862"/>
    </row>
    <row r="311" spans="1:12" s="120" customFormat="1" ht="42.75" customHeight="1">
      <c r="A311" s="114">
        <v>721122</v>
      </c>
      <c r="B311" s="174" t="s">
        <v>630</v>
      </c>
      <c r="C311" s="1248">
        <v>0</v>
      </c>
      <c r="D311" s="1248"/>
      <c r="E311" s="1248"/>
      <c r="F311" s="991">
        <f>C311+D311-E311</f>
        <v>0</v>
      </c>
      <c r="G311" s="1248">
        <v>30000</v>
      </c>
      <c r="H311" s="1248"/>
      <c r="I311" s="1248"/>
      <c r="J311" s="991">
        <f>G311+H311-I311</f>
        <v>30000</v>
      </c>
      <c r="K311" s="1248">
        <f>C311+G311</f>
        <v>30000</v>
      </c>
      <c r="L311" s="991">
        <f>F311+J311</f>
        <v>30000</v>
      </c>
    </row>
    <row r="312" spans="1:12" s="120" customFormat="1" ht="45" customHeight="1">
      <c r="A312" s="167"/>
      <c r="B312" s="109" t="s">
        <v>378</v>
      </c>
      <c r="C312" s="1243">
        <f>SUM(C311)</f>
        <v>0</v>
      </c>
      <c r="D312" s="1243">
        <f aca="true" t="shared" si="99" ref="D312:L312">SUM(D311)</f>
        <v>0</v>
      </c>
      <c r="E312" s="1243">
        <f t="shared" si="99"/>
        <v>0</v>
      </c>
      <c r="F312" s="1243">
        <f t="shared" si="99"/>
        <v>0</v>
      </c>
      <c r="G312" s="1243">
        <f t="shared" si="99"/>
        <v>30000</v>
      </c>
      <c r="H312" s="1243">
        <f t="shared" si="99"/>
        <v>0</v>
      </c>
      <c r="I312" s="1243">
        <f t="shared" si="99"/>
        <v>0</v>
      </c>
      <c r="J312" s="1243">
        <f t="shared" si="99"/>
        <v>30000</v>
      </c>
      <c r="K312" s="1243">
        <f t="shared" si="99"/>
        <v>30000</v>
      </c>
      <c r="L312" s="1243">
        <f t="shared" si="99"/>
        <v>30000</v>
      </c>
    </row>
    <row r="313" spans="1:12" s="120" customFormat="1" ht="56.25" customHeight="1">
      <c r="A313" s="110">
        <v>722600</v>
      </c>
      <c r="B313" s="1285" t="s">
        <v>625</v>
      </c>
      <c r="C313" s="165"/>
      <c r="D313" s="165"/>
      <c r="E313" s="165"/>
      <c r="F313" s="165"/>
      <c r="G313" s="165"/>
      <c r="H313" s="165"/>
      <c r="I313" s="165"/>
      <c r="J313" s="165"/>
      <c r="K313" s="165"/>
      <c r="L313" s="862"/>
    </row>
    <row r="314" spans="1:12" s="120" customFormat="1" ht="44.25" customHeight="1">
      <c r="A314" s="121">
        <v>722611</v>
      </c>
      <c r="B314" s="150" t="s">
        <v>628</v>
      </c>
      <c r="C314" s="1248">
        <v>0</v>
      </c>
      <c r="D314" s="1248"/>
      <c r="E314" s="1248"/>
      <c r="F314" s="991">
        <f>C314+D314-E314</f>
        <v>0</v>
      </c>
      <c r="G314" s="1248">
        <v>15000</v>
      </c>
      <c r="H314" s="1248"/>
      <c r="I314" s="1248"/>
      <c r="J314" s="991">
        <f>G314+H314-I314</f>
        <v>15000</v>
      </c>
      <c r="K314" s="1248">
        <f>C314+G314</f>
        <v>15000</v>
      </c>
      <c r="L314" s="991">
        <f>F314+J314</f>
        <v>15000</v>
      </c>
    </row>
    <row r="315" spans="1:12" s="120" customFormat="1" ht="37.5" customHeight="1">
      <c r="A315" s="105">
        <v>722612</v>
      </c>
      <c r="B315" s="132" t="s">
        <v>533</v>
      </c>
      <c r="C315" s="1248">
        <v>0</v>
      </c>
      <c r="D315" s="1248"/>
      <c r="E315" s="1248"/>
      <c r="F315" s="991">
        <f>C315+D315-E315</f>
        <v>0</v>
      </c>
      <c r="G315" s="1248">
        <v>5000</v>
      </c>
      <c r="H315" s="1248"/>
      <c r="I315" s="1248"/>
      <c r="J315" s="991">
        <f>G315+H315-I315</f>
        <v>5000</v>
      </c>
      <c r="K315" s="1248">
        <f>C315+G315</f>
        <v>5000</v>
      </c>
      <c r="L315" s="991">
        <f>F315+J315</f>
        <v>5000</v>
      </c>
    </row>
    <row r="316" spans="1:12" s="120" customFormat="1" ht="48" customHeight="1">
      <c r="A316" s="167"/>
      <c r="B316" s="109" t="s">
        <v>415</v>
      </c>
      <c r="C316" s="1243">
        <f>SUM(C314:C315)</f>
        <v>0</v>
      </c>
      <c r="D316" s="1243">
        <f aca="true" t="shared" si="100" ref="D316:L316">SUM(D314:D315)</f>
        <v>0</v>
      </c>
      <c r="E316" s="1243">
        <f t="shared" si="100"/>
        <v>0</v>
      </c>
      <c r="F316" s="1243">
        <f t="shared" si="100"/>
        <v>0</v>
      </c>
      <c r="G316" s="1243">
        <f t="shared" si="100"/>
        <v>20000</v>
      </c>
      <c r="H316" s="1243">
        <f t="shared" si="100"/>
        <v>0</v>
      </c>
      <c r="I316" s="1243">
        <f t="shared" si="100"/>
        <v>0</v>
      </c>
      <c r="J316" s="1243">
        <f t="shared" si="100"/>
        <v>20000</v>
      </c>
      <c r="K316" s="1243">
        <f t="shared" si="100"/>
        <v>20000</v>
      </c>
      <c r="L316" s="1243">
        <f t="shared" si="100"/>
        <v>20000</v>
      </c>
    </row>
    <row r="317" spans="1:12" s="120" customFormat="1" ht="56.25" customHeight="1">
      <c r="A317" s="110">
        <v>722700</v>
      </c>
      <c r="B317" s="116" t="s">
        <v>534</v>
      </c>
      <c r="C317" s="165"/>
      <c r="D317" s="165"/>
      <c r="E317" s="165"/>
      <c r="F317" s="165"/>
      <c r="G317" s="165"/>
      <c r="H317" s="165"/>
      <c r="I317" s="165"/>
      <c r="J317" s="165"/>
      <c r="K317" s="165"/>
      <c r="L317" s="862"/>
    </row>
    <row r="318" spans="1:12" s="120" customFormat="1" ht="31.5" customHeight="1">
      <c r="A318" s="121">
        <v>722791</v>
      </c>
      <c r="B318" s="150" t="s">
        <v>537</v>
      </c>
      <c r="C318" s="1248">
        <v>0</v>
      </c>
      <c r="D318" s="1248"/>
      <c r="E318" s="1248"/>
      <c r="F318" s="991">
        <f>C318+D318-E318</f>
        <v>0</v>
      </c>
      <c r="G318" s="1248">
        <v>5000</v>
      </c>
      <c r="H318" s="1248"/>
      <c r="I318" s="1248"/>
      <c r="J318" s="991">
        <f>G318+H318-I318</f>
        <v>5000</v>
      </c>
      <c r="K318" s="1248">
        <f>C318+G318</f>
        <v>5000</v>
      </c>
      <c r="L318" s="991">
        <f>F318+J318</f>
        <v>5000</v>
      </c>
    </row>
    <row r="319" spans="1:12" s="120" customFormat="1" ht="42.75" customHeight="1">
      <c r="A319" s="167"/>
      <c r="B319" s="109" t="s">
        <v>421</v>
      </c>
      <c r="C319" s="1243">
        <f>SUM(C318)</f>
        <v>0</v>
      </c>
      <c r="D319" s="1243">
        <f aca="true" t="shared" si="101" ref="D319:L319">SUM(D318)</f>
        <v>0</v>
      </c>
      <c r="E319" s="1243">
        <f t="shared" si="101"/>
        <v>0</v>
      </c>
      <c r="F319" s="1243">
        <f t="shared" si="101"/>
        <v>0</v>
      </c>
      <c r="G319" s="1243">
        <f t="shared" si="101"/>
        <v>5000</v>
      </c>
      <c r="H319" s="1243">
        <f t="shared" si="101"/>
        <v>0</v>
      </c>
      <c r="I319" s="1243">
        <f t="shared" si="101"/>
        <v>0</v>
      </c>
      <c r="J319" s="1243">
        <f t="shared" si="101"/>
        <v>5000</v>
      </c>
      <c r="K319" s="1243">
        <f t="shared" si="101"/>
        <v>5000</v>
      </c>
      <c r="L319" s="1243">
        <f t="shared" si="101"/>
        <v>5000</v>
      </c>
    </row>
    <row r="320" spans="1:12" s="120" customFormat="1" ht="46.5" customHeight="1">
      <c r="A320" s="167"/>
      <c r="B320" s="109" t="s">
        <v>538</v>
      </c>
      <c r="C320" s="1243">
        <f>SUM(C312,C316,C319,)</f>
        <v>0</v>
      </c>
      <c r="D320" s="1243">
        <f aca="true" t="shared" si="102" ref="D320:L320">SUM(D312,D316,D319,)</f>
        <v>0</v>
      </c>
      <c r="E320" s="1243">
        <f t="shared" si="102"/>
        <v>0</v>
      </c>
      <c r="F320" s="1243">
        <f t="shared" si="102"/>
        <v>0</v>
      </c>
      <c r="G320" s="1243">
        <f t="shared" si="102"/>
        <v>55000</v>
      </c>
      <c r="H320" s="1243">
        <f t="shared" si="102"/>
        <v>0</v>
      </c>
      <c r="I320" s="1243">
        <f t="shared" si="102"/>
        <v>0</v>
      </c>
      <c r="J320" s="1243">
        <f t="shared" si="102"/>
        <v>55000</v>
      </c>
      <c r="K320" s="1243">
        <f t="shared" si="102"/>
        <v>55000</v>
      </c>
      <c r="L320" s="1243">
        <f t="shared" si="102"/>
        <v>55000</v>
      </c>
    </row>
    <row r="321" spans="1:12" s="120" customFormat="1" ht="56.25" customHeight="1">
      <c r="A321" s="110">
        <v>730000</v>
      </c>
      <c r="B321" s="116" t="s">
        <v>539</v>
      </c>
      <c r="C321" s="165"/>
      <c r="D321" s="165"/>
      <c r="E321" s="165"/>
      <c r="F321" s="165"/>
      <c r="G321" s="165"/>
      <c r="H321" s="165"/>
      <c r="I321" s="165"/>
      <c r="J321" s="165"/>
      <c r="K321" s="165"/>
      <c r="L321" s="862"/>
    </row>
    <row r="322" spans="1:12" s="120" customFormat="1" ht="34.5" customHeight="1">
      <c r="A322" s="114">
        <v>732100</v>
      </c>
      <c r="B322" s="172" t="s">
        <v>338</v>
      </c>
      <c r="C322" s="1258"/>
      <c r="D322" s="1258"/>
      <c r="E322" s="1258"/>
      <c r="F322" s="1258"/>
      <c r="G322" s="1258"/>
      <c r="H322" s="1258"/>
      <c r="I322" s="1258"/>
      <c r="J322" s="1258"/>
      <c r="K322" s="1258"/>
      <c r="L322" s="1000"/>
    </row>
    <row r="323" spans="1:12" s="120" customFormat="1" ht="34.5" customHeight="1">
      <c r="A323" s="121">
        <v>732111</v>
      </c>
      <c r="B323" s="859" t="s">
        <v>996</v>
      </c>
      <c r="C323" s="1248">
        <v>0</v>
      </c>
      <c r="D323" s="1248"/>
      <c r="E323" s="1248"/>
      <c r="F323" s="991">
        <f>C323+D323-E323</f>
        <v>0</v>
      </c>
      <c r="G323" s="1248">
        <v>3000</v>
      </c>
      <c r="H323" s="1248"/>
      <c r="I323" s="1248"/>
      <c r="J323" s="991">
        <f>G323+H323-I323</f>
        <v>3000</v>
      </c>
      <c r="K323" s="1248">
        <f>C323+G323</f>
        <v>3000</v>
      </c>
      <c r="L323" s="991">
        <f>F323+J323</f>
        <v>3000</v>
      </c>
    </row>
    <row r="324" spans="1:12" s="120" customFormat="1" ht="34.5" customHeight="1">
      <c r="A324" s="99">
        <v>732112</v>
      </c>
      <c r="B324" s="945" t="s">
        <v>337</v>
      </c>
      <c r="C324" s="1248">
        <v>0</v>
      </c>
      <c r="D324" s="1248"/>
      <c r="E324" s="1248"/>
      <c r="F324" s="991">
        <f>C324+D324-E324</f>
        <v>0</v>
      </c>
      <c r="G324" s="1248">
        <v>4000</v>
      </c>
      <c r="H324" s="1248"/>
      <c r="I324" s="1248"/>
      <c r="J324" s="991">
        <f>G324+H324-I324</f>
        <v>4000</v>
      </c>
      <c r="K324" s="1248">
        <f>C324+G324</f>
        <v>4000</v>
      </c>
      <c r="L324" s="991">
        <f>F324+J324</f>
        <v>4000</v>
      </c>
    </row>
    <row r="325" spans="1:12" s="120" customFormat="1" ht="34.5" customHeight="1">
      <c r="A325" s="105">
        <v>731114</v>
      </c>
      <c r="B325" s="945" t="s">
        <v>328</v>
      </c>
      <c r="C325" s="1248">
        <v>0</v>
      </c>
      <c r="D325" s="1248"/>
      <c r="E325" s="1248"/>
      <c r="F325" s="991">
        <f>C325+D325-E325</f>
        <v>0</v>
      </c>
      <c r="G325" s="1248">
        <v>0</v>
      </c>
      <c r="H325" s="1248"/>
      <c r="I325" s="1248"/>
      <c r="J325" s="991">
        <f>G325+H325-I325</f>
        <v>0</v>
      </c>
      <c r="K325" s="1248">
        <f>C325+G325</f>
        <v>0</v>
      </c>
      <c r="L325" s="991">
        <f>F325+J325</f>
        <v>0</v>
      </c>
    </row>
    <row r="326" spans="1:12" s="120" customFormat="1" ht="36" customHeight="1">
      <c r="A326" s="105">
        <v>732131</v>
      </c>
      <c r="B326" s="132" t="s">
        <v>96</v>
      </c>
      <c r="C326" s="1248">
        <v>0</v>
      </c>
      <c r="D326" s="1248"/>
      <c r="E326" s="1248"/>
      <c r="F326" s="991">
        <f>C326+D326-E326</f>
        <v>0</v>
      </c>
      <c r="G326" s="1248">
        <v>13064</v>
      </c>
      <c r="H326" s="1248"/>
      <c r="I326" s="1248"/>
      <c r="J326" s="991">
        <f>G326+H326-I326</f>
        <v>13064</v>
      </c>
      <c r="K326" s="1248">
        <f>C326+G326</f>
        <v>13064</v>
      </c>
      <c r="L326" s="991">
        <f>F326+J326</f>
        <v>13064</v>
      </c>
    </row>
    <row r="327" spans="1:12" s="120" customFormat="1" ht="42.75" customHeight="1">
      <c r="A327" s="167"/>
      <c r="B327" s="109" t="s">
        <v>453</v>
      </c>
      <c r="C327" s="1243">
        <f>SUM(C326,C324,C323,C325,)</f>
        <v>0</v>
      </c>
      <c r="D327" s="1243">
        <f aca="true" t="shared" si="103" ref="D327:L327">SUM(D326,D324,D323,D325,)</f>
        <v>0</v>
      </c>
      <c r="E327" s="1243">
        <f t="shared" si="103"/>
        <v>0</v>
      </c>
      <c r="F327" s="1243">
        <f t="shared" si="103"/>
        <v>0</v>
      </c>
      <c r="G327" s="1243">
        <f t="shared" si="103"/>
        <v>20064</v>
      </c>
      <c r="H327" s="1243">
        <f t="shared" si="103"/>
        <v>0</v>
      </c>
      <c r="I327" s="1243">
        <f t="shared" si="103"/>
        <v>0</v>
      </c>
      <c r="J327" s="1243">
        <f t="shared" si="103"/>
        <v>20064</v>
      </c>
      <c r="K327" s="1243">
        <f t="shared" si="103"/>
        <v>20064</v>
      </c>
      <c r="L327" s="1243">
        <f t="shared" si="103"/>
        <v>20064</v>
      </c>
    </row>
    <row r="328" spans="1:12" s="120" customFormat="1" ht="42.75" customHeight="1">
      <c r="A328" s="110">
        <v>733100</v>
      </c>
      <c r="B328" s="116" t="s">
        <v>309</v>
      </c>
      <c r="C328" s="999"/>
      <c r="D328" s="999"/>
      <c r="E328" s="999"/>
      <c r="F328" s="999"/>
      <c r="G328" s="999"/>
      <c r="H328" s="999"/>
      <c r="I328" s="999"/>
      <c r="J328" s="999"/>
      <c r="K328" s="999"/>
      <c r="L328" s="956"/>
    </row>
    <row r="329" spans="1:12" s="120" customFormat="1" ht="42.75" customHeight="1">
      <c r="A329" s="99">
        <v>733112</v>
      </c>
      <c r="B329" s="100" t="s">
        <v>310</v>
      </c>
      <c r="C329" s="1248">
        <v>0</v>
      </c>
      <c r="D329" s="1248"/>
      <c r="E329" s="1248"/>
      <c r="F329" s="991">
        <f>C329+D329-E329</f>
        <v>0</v>
      </c>
      <c r="G329" s="1248">
        <v>3000</v>
      </c>
      <c r="H329" s="1248"/>
      <c r="I329" s="1248"/>
      <c r="J329" s="991">
        <f>G329+H329-I329</f>
        <v>3000</v>
      </c>
      <c r="K329" s="1248">
        <f>C329+G329</f>
        <v>3000</v>
      </c>
      <c r="L329" s="991">
        <f>F329+J329</f>
        <v>3000</v>
      </c>
    </row>
    <row r="330" spans="1:12" s="120" customFormat="1" ht="42.75" customHeight="1">
      <c r="A330" s="110"/>
      <c r="B330" s="109" t="s">
        <v>311</v>
      </c>
      <c r="C330" s="117">
        <f>SUM(C329)</f>
        <v>0</v>
      </c>
      <c r="D330" s="117">
        <f aca="true" t="shared" si="104" ref="D330:L330">SUM(D329)</f>
        <v>0</v>
      </c>
      <c r="E330" s="117">
        <f t="shared" si="104"/>
        <v>0</v>
      </c>
      <c r="F330" s="117">
        <f t="shared" si="104"/>
        <v>0</v>
      </c>
      <c r="G330" s="117">
        <f t="shared" si="104"/>
        <v>3000</v>
      </c>
      <c r="H330" s="117">
        <f t="shared" si="104"/>
        <v>0</v>
      </c>
      <c r="I330" s="117">
        <f t="shared" si="104"/>
        <v>0</v>
      </c>
      <c r="J330" s="117">
        <f t="shared" si="104"/>
        <v>3000</v>
      </c>
      <c r="K330" s="117">
        <f t="shared" si="104"/>
        <v>3000</v>
      </c>
      <c r="L330" s="117">
        <f t="shared" si="104"/>
        <v>3000</v>
      </c>
    </row>
    <row r="331" spans="1:12" s="120" customFormat="1" ht="42.75" customHeight="1">
      <c r="A331" s="171"/>
      <c r="B331" s="116" t="s">
        <v>593</v>
      </c>
      <c r="C331" s="117">
        <f>SUM(C327,C330,)</f>
        <v>0</v>
      </c>
      <c r="D331" s="117">
        <f aca="true" t="shared" si="105" ref="D331:L331">SUM(D327,D330,)</f>
        <v>0</v>
      </c>
      <c r="E331" s="117">
        <f t="shared" si="105"/>
        <v>0</v>
      </c>
      <c r="F331" s="117">
        <f t="shared" si="105"/>
        <v>0</v>
      </c>
      <c r="G331" s="117">
        <f t="shared" si="105"/>
        <v>23064</v>
      </c>
      <c r="H331" s="117">
        <f t="shared" si="105"/>
        <v>0</v>
      </c>
      <c r="I331" s="117">
        <f t="shared" si="105"/>
        <v>0</v>
      </c>
      <c r="J331" s="117">
        <f t="shared" si="105"/>
        <v>23064</v>
      </c>
      <c r="K331" s="117">
        <f t="shared" si="105"/>
        <v>23064</v>
      </c>
      <c r="L331" s="117">
        <f t="shared" si="105"/>
        <v>23064</v>
      </c>
    </row>
    <row r="332" spans="1:12" s="120" customFormat="1" ht="42.75" customHeight="1">
      <c r="A332" s="110">
        <v>740000</v>
      </c>
      <c r="B332" s="853" t="s">
        <v>968</v>
      </c>
      <c r="C332" s="117"/>
      <c r="D332" s="117"/>
      <c r="E332" s="117"/>
      <c r="F332" s="117"/>
      <c r="G332" s="117"/>
      <c r="H332" s="117"/>
      <c r="I332" s="117"/>
      <c r="J332" s="117"/>
      <c r="K332" s="117"/>
      <c r="L332" s="971"/>
    </row>
    <row r="333" spans="1:12" s="120" customFormat="1" ht="42.75" customHeight="1">
      <c r="A333" s="97">
        <v>742100</v>
      </c>
      <c r="B333" s="849" t="s">
        <v>754</v>
      </c>
      <c r="C333" s="999"/>
      <c r="D333" s="999"/>
      <c r="E333" s="999"/>
      <c r="F333" s="999"/>
      <c r="G333" s="999"/>
      <c r="H333" s="999"/>
      <c r="I333" s="999"/>
      <c r="J333" s="999"/>
      <c r="K333" s="999"/>
      <c r="L333" s="956"/>
    </row>
    <row r="334" spans="1:12" s="120" customFormat="1" ht="42.75" customHeight="1">
      <c r="A334" s="818">
        <v>742111</v>
      </c>
      <c r="B334" s="858" t="s">
        <v>811</v>
      </c>
      <c r="C334" s="1248">
        <v>0</v>
      </c>
      <c r="D334" s="1248"/>
      <c r="E334" s="1248"/>
      <c r="F334" s="991">
        <f>C334+D334-E334</f>
        <v>0</v>
      </c>
      <c r="G334" s="1248">
        <v>2000</v>
      </c>
      <c r="H334" s="1248"/>
      <c r="I334" s="1248"/>
      <c r="J334" s="991">
        <f>G334+H334-I334</f>
        <v>2000</v>
      </c>
      <c r="K334" s="1248">
        <f>C334+G334</f>
        <v>2000</v>
      </c>
      <c r="L334" s="991">
        <f>F334+J334</f>
        <v>2000</v>
      </c>
    </row>
    <row r="335" spans="1:12" s="120" customFormat="1" ht="42.75" customHeight="1">
      <c r="A335" s="121">
        <v>742112</v>
      </c>
      <c r="B335" s="122" t="s">
        <v>62</v>
      </c>
      <c r="C335" s="1248">
        <v>0</v>
      </c>
      <c r="D335" s="1248"/>
      <c r="E335" s="1248"/>
      <c r="F335" s="991">
        <f>C335+D335-E335</f>
        <v>0</v>
      </c>
      <c r="G335" s="1248">
        <v>3000</v>
      </c>
      <c r="H335" s="1248"/>
      <c r="I335" s="1248"/>
      <c r="J335" s="991">
        <f>G335+H335-I335</f>
        <v>3000</v>
      </c>
      <c r="K335" s="1248">
        <f>C335+G335</f>
        <v>3000</v>
      </c>
      <c r="L335" s="991">
        <f>F335+J335</f>
        <v>3000</v>
      </c>
    </row>
    <row r="336" spans="1:12" s="120" customFormat="1" ht="42.75" customHeight="1">
      <c r="A336" s="99"/>
      <c r="B336" s="851" t="s">
        <v>210</v>
      </c>
      <c r="C336" s="117">
        <f>SUM(C335,C334)</f>
        <v>0</v>
      </c>
      <c r="D336" s="117">
        <f aca="true" t="shared" si="106" ref="D336:L336">SUM(D335,D334)</f>
        <v>0</v>
      </c>
      <c r="E336" s="117">
        <f t="shared" si="106"/>
        <v>0</v>
      </c>
      <c r="F336" s="117">
        <f t="shared" si="106"/>
        <v>0</v>
      </c>
      <c r="G336" s="117">
        <f t="shared" si="106"/>
        <v>5000</v>
      </c>
      <c r="H336" s="117">
        <f t="shared" si="106"/>
        <v>0</v>
      </c>
      <c r="I336" s="117">
        <f t="shared" si="106"/>
        <v>0</v>
      </c>
      <c r="J336" s="117">
        <f t="shared" si="106"/>
        <v>5000</v>
      </c>
      <c r="K336" s="117">
        <f t="shared" si="106"/>
        <v>5000</v>
      </c>
      <c r="L336" s="117">
        <f t="shared" si="106"/>
        <v>5000</v>
      </c>
    </row>
    <row r="337" spans="1:12" s="120" customFormat="1" ht="42.75" customHeight="1">
      <c r="A337" s="105"/>
      <c r="B337" s="957" t="s">
        <v>942</v>
      </c>
      <c r="C337" s="117">
        <f>SUM(C336)</f>
        <v>0</v>
      </c>
      <c r="D337" s="117">
        <f aca="true" t="shared" si="107" ref="D337:L337">SUM(D336)</f>
        <v>0</v>
      </c>
      <c r="E337" s="117">
        <f t="shared" si="107"/>
        <v>0</v>
      </c>
      <c r="F337" s="117">
        <f t="shared" si="107"/>
        <v>0</v>
      </c>
      <c r="G337" s="117">
        <f t="shared" si="107"/>
        <v>5000</v>
      </c>
      <c r="H337" s="117">
        <f t="shared" si="107"/>
        <v>0</v>
      </c>
      <c r="I337" s="117">
        <f t="shared" si="107"/>
        <v>0</v>
      </c>
      <c r="J337" s="117">
        <f t="shared" si="107"/>
        <v>5000</v>
      </c>
      <c r="K337" s="117">
        <f t="shared" si="107"/>
        <v>5000</v>
      </c>
      <c r="L337" s="117">
        <f t="shared" si="107"/>
        <v>5000</v>
      </c>
    </row>
    <row r="338" spans="1:12" s="120" customFormat="1" ht="42.75" customHeight="1" thickBot="1">
      <c r="A338" s="152"/>
      <c r="B338" s="153" t="s">
        <v>843</v>
      </c>
      <c r="C338" s="1246">
        <f>SUM(C320,C331,C337,)</f>
        <v>0</v>
      </c>
      <c r="D338" s="1246">
        <f aca="true" t="shared" si="108" ref="D338:L338">SUM(D320,D331,D337,)</f>
        <v>0</v>
      </c>
      <c r="E338" s="1246">
        <f t="shared" si="108"/>
        <v>0</v>
      </c>
      <c r="F338" s="1246">
        <f t="shared" si="108"/>
        <v>0</v>
      </c>
      <c r="G338" s="1246">
        <f t="shared" si="108"/>
        <v>83064</v>
      </c>
      <c r="H338" s="1246">
        <f t="shared" si="108"/>
        <v>0</v>
      </c>
      <c r="I338" s="1246">
        <f t="shared" si="108"/>
        <v>0</v>
      </c>
      <c r="J338" s="1246">
        <f t="shared" si="108"/>
        <v>83064</v>
      </c>
      <c r="K338" s="1246">
        <f t="shared" si="108"/>
        <v>83064</v>
      </c>
      <c r="L338" s="1246">
        <f t="shared" si="108"/>
        <v>83064</v>
      </c>
    </row>
    <row r="339" spans="1:12" s="180" customFormat="1" ht="24" thickBot="1">
      <c r="A339" s="177"/>
      <c r="B339" s="178"/>
      <c r="C339" s="179"/>
      <c r="D339" s="179"/>
      <c r="E339" s="179"/>
      <c r="F339" s="179"/>
      <c r="G339" s="179"/>
      <c r="H339" s="179"/>
      <c r="I339" s="179"/>
      <c r="J339" s="179"/>
      <c r="K339" s="179"/>
      <c r="L339" s="1001"/>
    </row>
    <row r="340" spans="1:12" ht="262.5" customHeight="1">
      <c r="A340" s="92" t="s">
        <v>323</v>
      </c>
      <c r="B340" s="93" t="s">
        <v>342</v>
      </c>
      <c r="C340" s="813" t="s">
        <v>1124</v>
      </c>
      <c r="D340" s="813" t="s">
        <v>1332</v>
      </c>
      <c r="E340" s="813" t="s">
        <v>1333</v>
      </c>
      <c r="F340" s="813" t="s">
        <v>1334</v>
      </c>
      <c r="G340" s="813" t="s">
        <v>1184</v>
      </c>
      <c r="H340" s="813" t="s">
        <v>1335</v>
      </c>
      <c r="I340" s="813" t="s">
        <v>1336</v>
      </c>
      <c r="J340" s="813" t="s">
        <v>1337</v>
      </c>
      <c r="K340" s="813" t="s">
        <v>1125</v>
      </c>
      <c r="L340" s="813" t="s">
        <v>1331</v>
      </c>
    </row>
    <row r="341" spans="1:12" ht="20.25">
      <c r="A341" s="94">
        <v>0</v>
      </c>
      <c r="B341" s="95">
        <v>1</v>
      </c>
      <c r="C341" s="1241">
        <v>2</v>
      </c>
      <c r="D341" s="1241">
        <v>3</v>
      </c>
      <c r="E341" s="1241">
        <v>4</v>
      </c>
      <c r="F341" s="1241">
        <v>5</v>
      </c>
      <c r="G341" s="1241">
        <v>6</v>
      </c>
      <c r="H341" s="1241">
        <v>7</v>
      </c>
      <c r="I341" s="1241">
        <v>8</v>
      </c>
      <c r="J341" s="1241">
        <v>9</v>
      </c>
      <c r="K341" s="1241">
        <v>10</v>
      </c>
      <c r="L341" s="990">
        <v>11</v>
      </c>
    </row>
    <row r="342" spans="1:12" ht="33" customHeight="1">
      <c r="A342" s="181"/>
      <c r="B342" s="131" t="s">
        <v>1054</v>
      </c>
      <c r="C342" s="1251"/>
      <c r="D342" s="1251"/>
      <c r="E342" s="1251"/>
      <c r="F342" s="1251"/>
      <c r="G342" s="1251"/>
      <c r="H342" s="1251"/>
      <c r="I342" s="1251"/>
      <c r="J342" s="1251"/>
      <c r="K342" s="1251"/>
      <c r="L342" s="1145"/>
    </row>
    <row r="343" spans="1:12" ht="26.25" customHeight="1">
      <c r="A343" s="97">
        <v>720000</v>
      </c>
      <c r="B343" s="98" t="s">
        <v>629</v>
      </c>
      <c r="C343" s="1252"/>
      <c r="D343" s="1252"/>
      <c r="E343" s="1252"/>
      <c r="F343" s="1252"/>
      <c r="G343" s="1252"/>
      <c r="H343" s="1252"/>
      <c r="I343" s="1252"/>
      <c r="J343" s="1252"/>
      <c r="K343" s="1252"/>
      <c r="L343" s="1146"/>
    </row>
    <row r="344" spans="1:12" ht="46.5" customHeight="1">
      <c r="A344" s="97">
        <v>721100</v>
      </c>
      <c r="B344" s="849" t="s">
        <v>1193</v>
      </c>
      <c r="C344" s="1252"/>
      <c r="D344" s="1252"/>
      <c r="E344" s="1252"/>
      <c r="F344" s="1252"/>
      <c r="G344" s="1252"/>
      <c r="H344" s="1252"/>
      <c r="I344" s="1252"/>
      <c r="J344" s="1252"/>
      <c r="K344" s="1252"/>
      <c r="L344" s="1146"/>
    </row>
    <row r="345" spans="1:12" ht="49.5" customHeight="1">
      <c r="A345" s="951">
        <v>721111</v>
      </c>
      <c r="B345" s="952" t="s">
        <v>1194</v>
      </c>
      <c r="C345" s="1268">
        <v>300000</v>
      </c>
      <c r="D345" s="1268"/>
      <c r="E345" s="1268"/>
      <c r="F345" s="991">
        <f>C345+D345-E345</f>
        <v>300000</v>
      </c>
      <c r="G345" s="1268">
        <v>0</v>
      </c>
      <c r="H345" s="1268"/>
      <c r="I345" s="1268"/>
      <c r="J345" s="991">
        <f>G345+H345-I345</f>
        <v>0</v>
      </c>
      <c r="K345" s="1248">
        <f>C345+G345</f>
        <v>300000</v>
      </c>
      <c r="L345" s="991">
        <f>F345+J345</f>
        <v>300000</v>
      </c>
    </row>
    <row r="346" spans="1:12" ht="26.25" customHeight="1">
      <c r="A346" s="118"/>
      <c r="B346" s="850" t="s">
        <v>378</v>
      </c>
      <c r="C346" s="1269">
        <f>SUM(C345)</f>
        <v>300000</v>
      </c>
      <c r="D346" s="1269">
        <f aca="true" t="shared" si="109" ref="D346:L346">SUM(D345)</f>
        <v>0</v>
      </c>
      <c r="E346" s="1269">
        <f t="shared" si="109"/>
        <v>0</v>
      </c>
      <c r="F346" s="1269">
        <f t="shared" si="109"/>
        <v>300000</v>
      </c>
      <c r="G346" s="1269">
        <f t="shared" si="109"/>
        <v>0</v>
      </c>
      <c r="H346" s="1269">
        <f t="shared" si="109"/>
        <v>0</v>
      </c>
      <c r="I346" s="1269">
        <f t="shared" si="109"/>
        <v>0</v>
      </c>
      <c r="J346" s="1269">
        <f t="shared" si="109"/>
        <v>0</v>
      </c>
      <c r="K346" s="1269">
        <f t="shared" si="109"/>
        <v>300000</v>
      </c>
      <c r="L346" s="1269">
        <f t="shared" si="109"/>
        <v>300000</v>
      </c>
    </row>
    <row r="347" spans="1:12" ht="27" customHeight="1">
      <c r="A347" s="1144">
        <v>722300</v>
      </c>
      <c r="B347" s="183" t="s">
        <v>276</v>
      </c>
      <c r="C347" s="1270"/>
      <c r="D347" s="1270"/>
      <c r="E347" s="1270"/>
      <c r="F347" s="1270"/>
      <c r="G347" s="1270"/>
      <c r="H347" s="1270"/>
      <c r="I347" s="1270"/>
      <c r="J347" s="1270"/>
      <c r="K347" s="1270"/>
      <c r="L347" s="1002"/>
    </row>
    <row r="348" spans="1:12" ht="42" customHeight="1">
      <c r="A348" s="1395" t="s">
        <v>274</v>
      </c>
      <c r="B348" s="1399" t="s">
        <v>408</v>
      </c>
      <c r="C348" s="1332">
        <v>500000</v>
      </c>
      <c r="D348" s="1332">
        <v>300000</v>
      </c>
      <c r="E348" s="1332"/>
      <c r="F348" s="1333">
        <f>C348+D348-E348</f>
        <v>800000</v>
      </c>
      <c r="G348" s="1332">
        <v>0</v>
      </c>
      <c r="H348" s="1332"/>
      <c r="I348" s="1332"/>
      <c r="J348" s="1333">
        <f>G348+H348-I348</f>
        <v>0</v>
      </c>
      <c r="K348" s="1332">
        <f>C348+G348</f>
        <v>500000</v>
      </c>
      <c r="L348" s="1333">
        <f>F348+J348</f>
        <v>800000</v>
      </c>
    </row>
    <row r="349" spans="1:12" ht="29.25" customHeight="1">
      <c r="A349" s="99" t="s">
        <v>204</v>
      </c>
      <c r="B349" s="115" t="s">
        <v>518</v>
      </c>
      <c r="C349" s="1248">
        <v>300000</v>
      </c>
      <c r="D349" s="1248"/>
      <c r="E349" s="1248"/>
      <c r="F349" s="991">
        <f>C349+D349-E349</f>
        <v>300000</v>
      </c>
      <c r="G349" s="1248">
        <v>0</v>
      </c>
      <c r="H349" s="1248"/>
      <c r="I349" s="1248"/>
      <c r="J349" s="991">
        <f>G349+H349-I349</f>
        <v>0</v>
      </c>
      <c r="K349" s="1248">
        <f>C349+G349</f>
        <v>300000</v>
      </c>
      <c r="L349" s="991">
        <f>F349+J349</f>
        <v>300000</v>
      </c>
    </row>
    <row r="350" spans="1:14" ht="26.25" customHeight="1">
      <c r="A350" s="106" t="s">
        <v>235</v>
      </c>
      <c r="B350" s="184" t="s">
        <v>236</v>
      </c>
      <c r="C350" s="1248">
        <v>1900000</v>
      </c>
      <c r="D350" s="1248"/>
      <c r="E350" s="1248"/>
      <c r="F350" s="991">
        <f>C350+D350-E350</f>
        <v>1900000</v>
      </c>
      <c r="G350" s="1248">
        <v>0</v>
      </c>
      <c r="H350" s="1248"/>
      <c r="I350" s="1248"/>
      <c r="J350" s="991">
        <f>G350+H350-I350</f>
        <v>0</v>
      </c>
      <c r="K350" s="1248">
        <f>C350+G350</f>
        <v>1900000</v>
      </c>
      <c r="L350" s="991">
        <f>F350+J350</f>
        <v>1900000</v>
      </c>
      <c r="M350" s="835"/>
      <c r="N350" s="836"/>
    </row>
    <row r="351" spans="1:12" ht="29.25" customHeight="1">
      <c r="A351" s="182"/>
      <c r="B351" s="119" t="s">
        <v>385</v>
      </c>
      <c r="C351" s="1271">
        <f>SUM(C348:C350)</f>
        <v>2700000</v>
      </c>
      <c r="D351" s="1271">
        <f aca="true" t="shared" si="110" ref="D351:L351">SUM(D348:D350)</f>
        <v>300000</v>
      </c>
      <c r="E351" s="1271">
        <f t="shared" si="110"/>
        <v>0</v>
      </c>
      <c r="F351" s="1271">
        <f t="shared" si="110"/>
        <v>3000000</v>
      </c>
      <c r="G351" s="1271">
        <f t="shared" si="110"/>
        <v>0</v>
      </c>
      <c r="H351" s="1271">
        <f t="shared" si="110"/>
        <v>0</v>
      </c>
      <c r="I351" s="1271">
        <f t="shared" si="110"/>
        <v>0</v>
      </c>
      <c r="J351" s="1271">
        <f t="shared" si="110"/>
        <v>0</v>
      </c>
      <c r="K351" s="1271">
        <f t="shared" si="110"/>
        <v>2700000</v>
      </c>
      <c r="L351" s="1271">
        <f t="shared" si="110"/>
        <v>3000000</v>
      </c>
    </row>
    <row r="352" spans="1:12" ht="26.25" customHeight="1">
      <c r="A352" s="185">
        <v>722400</v>
      </c>
      <c r="B352" s="154" t="s">
        <v>386</v>
      </c>
      <c r="C352" s="1252"/>
      <c r="D352" s="1252"/>
      <c r="E352" s="1252"/>
      <c r="F352" s="1252"/>
      <c r="G352" s="1252"/>
      <c r="H352" s="1252"/>
      <c r="I352" s="1252"/>
      <c r="J352" s="1252"/>
      <c r="K352" s="1252"/>
      <c r="L352" s="1146"/>
    </row>
    <row r="353" spans="1:12" ht="6.75" customHeight="1">
      <c r="A353" s="99"/>
      <c r="B353" s="166"/>
      <c r="C353" s="1242"/>
      <c r="D353" s="1242"/>
      <c r="E353" s="1242"/>
      <c r="F353" s="1242"/>
      <c r="G353" s="1242"/>
      <c r="H353" s="1242"/>
      <c r="I353" s="1242"/>
      <c r="J353" s="1242"/>
      <c r="K353" s="1242"/>
      <c r="L353" s="867"/>
    </row>
    <row r="354" spans="1:12" ht="22.5" customHeight="1">
      <c r="A354" s="121">
        <v>722431</v>
      </c>
      <c r="B354" s="122" t="s">
        <v>312</v>
      </c>
      <c r="C354" s="1248">
        <v>100000</v>
      </c>
      <c r="D354" s="1248"/>
      <c r="E354" s="1248"/>
      <c r="F354" s="991">
        <f>C354+D354-E354</f>
        <v>100000</v>
      </c>
      <c r="G354" s="1248">
        <v>0</v>
      </c>
      <c r="H354" s="1248"/>
      <c r="I354" s="1248"/>
      <c r="J354" s="991">
        <f>G354+H354-I354</f>
        <v>0</v>
      </c>
      <c r="K354" s="1248">
        <f>C354+G354</f>
        <v>100000</v>
      </c>
      <c r="L354" s="991">
        <f>F354+J354</f>
        <v>100000</v>
      </c>
    </row>
    <row r="355" spans="1:12" ht="27" customHeight="1">
      <c r="A355" s="101">
        <v>722434</v>
      </c>
      <c r="B355" s="113" t="s">
        <v>102</v>
      </c>
      <c r="C355" s="1248">
        <v>10000</v>
      </c>
      <c r="D355" s="1248"/>
      <c r="E355" s="1248"/>
      <c r="F355" s="991">
        <f>C355+D355-E355</f>
        <v>10000</v>
      </c>
      <c r="G355" s="1248">
        <v>0</v>
      </c>
      <c r="H355" s="1248"/>
      <c r="I355" s="1248"/>
      <c r="J355" s="991">
        <f>G355+H355-I355</f>
        <v>0</v>
      </c>
      <c r="K355" s="1248">
        <f>C355+G355</f>
        <v>10000</v>
      </c>
      <c r="L355" s="991">
        <f>F355+J355</f>
        <v>10000</v>
      </c>
    </row>
    <row r="356" spans="1:12" ht="27.75" customHeight="1">
      <c r="A356" s="1391">
        <v>722435</v>
      </c>
      <c r="B356" s="1416" t="s">
        <v>592</v>
      </c>
      <c r="C356" s="1332">
        <v>2550000</v>
      </c>
      <c r="D356" s="1332">
        <v>199627.92</v>
      </c>
      <c r="E356" s="1332"/>
      <c r="F356" s="1333">
        <f>C356+D356-E356</f>
        <v>2749627.92</v>
      </c>
      <c r="G356" s="1332">
        <v>0</v>
      </c>
      <c r="H356" s="1332"/>
      <c r="I356" s="1332"/>
      <c r="J356" s="1333">
        <f>G356+H356-I356</f>
        <v>0</v>
      </c>
      <c r="K356" s="1332">
        <f>C356+G356</f>
        <v>2550000</v>
      </c>
      <c r="L356" s="1333">
        <f>F356+J356</f>
        <v>2749627.92</v>
      </c>
    </row>
    <row r="357" spans="1:12" ht="27.75" customHeight="1">
      <c r="A357" s="121">
        <v>722437</v>
      </c>
      <c r="B357" s="150" t="s">
        <v>336</v>
      </c>
      <c r="C357" s="1248">
        <v>400000</v>
      </c>
      <c r="D357" s="1248"/>
      <c r="E357" s="1248"/>
      <c r="F357" s="991">
        <f>C357+D357-E357</f>
        <v>400000</v>
      </c>
      <c r="G357" s="1248">
        <v>0</v>
      </c>
      <c r="H357" s="1248"/>
      <c r="I357" s="1248"/>
      <c r="J357" s="991">
        <f>G357+H357-I357</f>
        <v>0</v>
      </c>
      <c r="K357" s="1248">
        <f>C357+G357</f>
        <v>400000</v>
      </c>
      <c r="L357" s="991">
        <f>F357+J357</f>
        <v>400000</v>
      </c>
    </row>
    <row r="358" spans="1:12" s="145" customFormat="1" ht="30" customHeight="1">
      <c r="A358" s="118"/>
      <c r="B358" s="119" t="s">
        <v>409</v>
      </c>
      <c r="C358" s="1243">
        <f>SUM(C354:C357)</f>
        <v>3060000</v>
      </c>
      <c r="D358" s="1243">
        <f aca="true" t="shared" si="111" ref="D358:L358">SUM(D354:D357)</f>
        <v>199627.92</v>
      </c>
      <c r="E358" s="1243">
        <f t="shared" si="111"/>
        <v>0</v>
      </c>
      <c r="F358" s="1243">
        <f t="shared" si="111"/>
        <v>3259627.92</v>
      </c>
      <c r="G358" s="1243">
        <f t="shared" si="111"/>
        <v>0</v>
      </c>
      <c r="H358" s="1243">
        <f t="shared" si="111"/>
        <v>0</v>
      </c>
      <c r="I358" s="1243">
        <f t="shared" si="111"/>
        <v>0</v>
      </c>
      <c r="J358" s="1243">
        <f t="shared" si="111"/>
        <v>0</v>
      </c>
      <c r="K358" s="1243">
        <f t="shared" si="111"/>
        <v>3060000</v>
      </c>
      <c r="L358" s="1243">
        <f t="shared" si="111"/>
        <v>3259627.92</v>
      </c>
    </row>
    <row r="359" spans="1:12" s="145" customFormat="1" ht="27.75" customHeight="1">
      <c r="A359" s="118"/>
      <c r="B359" s="109" t="s">
        <v>538</v>
      </c>
      <c r="C359" s="1243">
        <f>SUM(C351,C358,C346,)</f>
        <v>6060000</v>
      </c>
      <c r="D359" s="1243">
        <f aca="true" t="shared" si="112" ref="D359:L359">SUM(D351,D358,D346,)</f>
        <v>499627.92000000004</v>
      </c>
      <c r="E359" s="1243">
        <f t="shared" si="112"/>
        <v>0</v>
      </c>
      <c r="F359" s="1243">
        <f t="shared" si="112"/>
        <v>6559627.92</v>
      </c>
      <c r="G359" s="1243">
        <f t="shared" si="112"/>
        <v>0</v>
      </c>
      <c r="H359" s="1243">
        <f t="shared" si="112"/>
        <v>0</v>
      </c>
      <c r="I359" s="1243">
        <f t="shared" si="112"/>
        <v>0</v>
      </c>
      <c r="J359" s="1243">
        <f t="shared" si="112"/>
        <v>0</v>
      </c>
      <c r="K359" s="1243">
        <f t="shared" si="112"/>
        <v>6060000</v>
      </c>
      <c r="L359" s="1243">
        <f t="shared" si="112"/>
        <v>6559627.92</v>
      </c>
    </row>
    <row r="360" spans="1:12" s="145" customFormat="1" ht="27.75" customHeight="1">
      <c r="A360" s="97">
        <v>730000</v>
      </c>
      <c r="B360" s="851" t="s">
        <v>539</v>
      </c>
      <c r="C360" s="165"/>
      <c r="D360" s="165"/>
      <c r="E360" s="165"/>
      <c r="F360" s="165"/>
      <c r="G360" s="165"/>
      <c r="H360" s="165"/>
      <c r="I360" s="165"/>
      <c r="J360" s="165"/>
      <c r="K360" s="165"/>
      <c r="L360" s="954"/>
    </row>
    <row r="361" spans="1:12" s="145" customFormat="1" ht="27.75" customHeight="1">
      <c r="A361" s="97">
        <v>732100</v>
      </c>
      <c r="B361" s="851" t="s">
        <v>338</v>
      </c>
      <c r="C361" s="165"/>
      <c r="D361" s="165"/>
      <c r="E361" s="165"/>
      <c r="F361" s="165"/>
      <c r="G361" s="165"/>
      <c r="H361" s="165"/>
      <c r="I361" s="165"/>
      <c r="J361" s="165"/>
      <c r="K361" s="165"/>
      <c r="L361" s="860"/>
    </row>
    <row r="362" spans="1:12" s="145" customFormat="1" ht="21" customHeight="1">
      <c r="A362" s="121">
        <v>732114</v>
      </c>
      <c r="B362" s="150" t="s">
        <v>328</v>
      </c>
      <c r="C362" s="1248">
        <v>0</v>
      </c>
      <c r="D362" s="1248"/>
      <c r="E362" s="1248"/>
      <c r="F362" s="991">
        <f>C362+D362-E362</f>
        <v>0</v>
      </c>
      <c r="G362" s="1248">
        <v>10000</v>
      </c>
      <c r="H362" s="1248"/>
      <c r="I362" s="1248"/>
      <c r="J362" s="991">
        <f>G362+H362-I362</f>
        <v>10000</v>
      </c>
      <c r="K362" s="1248">
        <f>C362+G362</f>
        <v>10000</v>
      </c>
      <c r="L362" s="991">
        <f>F362+J362</f>
        <v>10000</v>
      </c>
    </row>
    <row r="363" spans="1:12" s="145" customFormat="1" ht="27.75" customHeight="1">
      <c r="A363" s="99"/>
      <c r="B363" s="166" t="s">
        <v>453</v>
      </c>
      <c r="C363" s="1264">
        <f>SUM(C362)</f>
        <v>0</v>
      </c>
      <c r="D363" s="1264">
        <f aca="true" t="shared" si="113" ref="D363:L363">SUM(D362)</f>
        <v>0</v>
      </c>
      <c r="E363" s="1264">
        <f t="shared" si="113"/>
        <v>0</v>
      </c>
      <c r="F363" s="1264">
        <f t="shared" si="113"/>
        <v>0</v>
      </c>
      <c r="G363" s="1264">
        <f t="shared" si="113"/>
        <v>10000</v>
      </c>
      <c r="H363" s="1264">
        <f t="shared" si="113"/>
        <v>0</v>
      </c>
      <c r="I363" s="1264">
        <f t="shared" si="113"/>
        <v>0</v>
      </c>
      <c r="J363" s="1264">
        <f t="shared" si="113"/>
        <v>10000</v>
      </c>
      <c r="K363" s="1264">
        <f t="shared" si="113"/>
        <v>10000</v>
      </c>
      <c r="L363" s="1264">
        <f t="shared" si="113"/>
        <v>10000</v>
      </c>
    </row>
    <row r="364" spans="1:12" s="145" customFormat="1" ht="27.75" customHeight="1">
      <c r="A364" s="105"/>
      <c r="B364" s="972" t="s">
        <v>593</v>
      </c>
      <c r="C364" s="1256">
        <f>SUM(C363)</f>
        <v>0</v>
      </c>
      <c r="D364" s="1256">
        <f aca="true" t="shared" si="114" ref="D364:L364">SUM(D363)</f>
        <v>0</v>
      </c>
      <c r="E364" s="1256">
        <f t="shared" si="114"/>
        <v>0</v>
      </c>
      <c r="F364" s="1256">
        <f t="shared" si="114"/>
        <v>0</v>
      </c>
      <c r="G364" s="1256">
        <f t="shared" si="114"/>
        <v>10000</v>
      </c>
      <c r="H364" s="1256">
        <f t="shared" si="114"/>
        <v>0</v>
      </c>
      <c r="I364" s="1256">
        <f t="shared" si="114"/>
        <v>0</v>
      </c>
      <c r="J364" s="1256">
        <f t="shared" si="114"/>
        <v>10000</v>
      </c>
      <c r="K364" s="1256">
        <f t="shared" si="114"/>
        <v>10000</v>
      </c>
      <c r="L364" s="1256">
        <f t="shared" si="114"/>
        <v>10000</v>
      </c>
    </row>
    <row r="365" spans="1:12" s="145" customFormat="1" ht="27.75" customHeight="1">
      <c r="A365" s="974">
        <v>740000</v>
      </c>
      <c r="B365" s="973" t="s">
        <v>968</v>
      </c>
      <c r="C365" s="165"/>
      <c r="D365" s="165"/>
      <c r="E365" s="165"/>
      <c r="F365" s="165"/>
      <c r="G365" s="165"/>
      <c r="H365" s="165"/>
      <c r="I365" s="165"/>
      <c r="J365" s="165"/>
      <c r="K365" s="165"/>
      <c r="L365" s="954"/>
    </row>
    <row r="366" spans="1:12" s="145" customFormat="1" ht="27.75" customHeight="1">
      <c r="A366" s="953">
        <v>741100</v>
      </c>
      <c r="B366" s="849" t="s">
        <v>753</v>
      </c>
      <c r="C366" s="165"/>
      <c r="D366" s="165"/>
      <c r="E366" s="165"/>
      <c r="F366" s="165"/>
      <c r="G366" s="165"/>
      <c r="H366" s="165"/>
      <c r="I366" s="165"/>
      <c r="J366" s="165"/>
      <c r="K366" s="165"/>
      <c r="L366" s="860"/>
    </row>
    <row r="367" spans="1:12" s="145" customFormat="1" ht="18.75" customHeight="1">
      <c r="A367" s="121">
        <v>741111</v>
      </c>
      <c r="B367" s="122" t="s">
        <v>64</v>
      </c>
      <c r="C367" s="1248">
        <v>0</v>
      </c>
      <c r="D367" s="1248"/>
      <c r="E367" s="1248"/>
      <c r="F367" s="991">
        <f>C367+D367-E367</f>
        <v>0</v>
      </c>
      <c r="G367" s="1248">
        <v>392809</v>
      </c>
      <c r="H367" s="1248"/>
      <c r="I367" s="1248"/>
      <c r="J367" s="991">
        <f>G367+H367-I367</f>
        <v>392809</v>
      </c>
      <c r="K367" s="1248">
        <f>C367+G367</f>
        <v>392809</v>
      </c>
      <c r="L367" s="991">
        <f>F367+J367</f>
        <v>392809</v>
      </c>
    </row>
    <row r="368" spans="1:12" s="145" customFormat="1" ht="27.75" customHeight="1">
      <c r="A368" s="99"/>
      <c r="B368" s="166" t="s">
        <v>43</v>
      </c>
      <c r="C368" s="165">
        <f>SUM(C367,)</f>
        <v>0</v>
      </c>
      <c r="D368" s="165">
        <f aca="true" t="shared" si="115" ref="D368:L368">SUM(D367,)</f>
        <v>0</v>
      </c>
      <c r="E368" s="165">
        <f t="shared" si="115"/>
        <v>0</v>
      </c>
      <c r="F368" s="165">
        <f t="shared" si="115"/>
        <v>0</v>
      </c>
      <c r="G368" s="165">
        <f t="shared" si="115"/>
        <v>392809</v>
      </c>
      <c r="H368" s="165">
        <f t="shared" si="115"/>
        <v>0</v>
      </c>
      <c r="I368" s="165">
        <f t="shared" si="115"/>
        <v>0</v>
      </c>
      <c r="J368" s="165">
        <f t="shared" si="115"/>
        <v>392809</v>
      </c>
      <c r="K368" s="165">
        <f t="shared" si="115"/>
        <v>392809</v>
      </c>
      <c r="L368" s="165">
        <f t="shared" si="115"/>
        <v>392809</v>
      </c>
    </row>
    <row r="369" spans="1:12" s="145" customFormat="1" ht="27.75" customHeight="1">
      <c r="A369" s="110">
        <v>742100</v>
      </c>
      <c r="B369" s="848" t="s">
        <v>1000</v>
      </c>
      <c r="C369" s="1264"/>
      <c r="D369" s="1264"/>
      <c r="E369" s="1264"/>
      <c r="F369" s="1264"/>
      <c r="G369" s="1264"/>
      <c r="H369" s="1264"/>
      <c r="I369" s="1264"/>
      <c r="J369" s="1264"/>
      <c r="K369" s="1264"/>
      <c r="L369" s="861"/>
    </row>
    <row r="370" spans="1:12" s="145" customFormat="1" ht="27.75" customHeight="1">
      <c r="A370" s="99">
        <v>742111</v>
      </c>
      <c r="B370" s="122" t="s">
        <v>811</v>
      </c>
      <c r="C370" s="1248">
        <v>0</v>
      </c>
      <c r="D370" s="1248"/>
      <c r="E370" s="1248"/>
      <c r="F370" s="991">
        <f>C370+D370-E370</f>
        <v>0</v>
      </c>
      <c r="G370" s="1248">
        <v>0</v>
      </c>
      <c r="H370" s="1248"/>
      <c r="I370" s="1248"/>
      <c r="J370" s="991">
        <f>G370+H370-I370</f>
        <v>0</v>
      </c>
      <c r="K370" s="1248">
        <f>C370+G370</f>
        <v>0</v>
      </c>
      <c r="L370" s="991">
        <f>F370+J370</f>
        <v>0</v>
      </c>
    </row>
    <row r="371" spans="1:12" s="145" customFormat="1" ht="27.75" customHeight="1">
      <c r="A371" s="105">
        <v>742112</v>
      </c>
      <c r="B371" s="1091" t="s">
        <v>62</v>
      </c>
      <c r="C371" s="1248">
        <v>0</v>
      </c>
      <c r="D371" s="1248"/>
      <c r="E371" s="1248"/>
      <c r="F371" s="991">
        <f>C371+D371-E371</f>
        <v>0</v>
      </c>
      <c r="G371" s="1248">
        <v>100000</v>
      </c>
      <c r="H371" s="1248"/>
      <c r="I371" s="1248"/>
      <c r="J371" s="991">
        <f>G371+H371-I371</f>
        <v>100000</v>
      </c>
      <c r="K371" s="1248">
        <f>C371+G371</f>
        <v>100000</v>
      </c>
      <c r="L371" s="991">
        <f>F371+J371</f>
        <v>100000</v>
      </c>
    </row>
    <row r="372" spans="1:12" s="145" customFormat="1" ht="27.75" customHeight="1">
      <c r="A372" s="1391">
        <v>742114</v>
      </c>
      <c r="B372" s="1416" t="s">
        <v>711</v>
      </c>
      <c r="C372" s="1332">
        <v>0</v>
      </c>
      <c r="D372" s="1332"/>
      <c r="E372" s="1332"/>
      <c r="F372" s="1333">
        <f>C372+D372-E372</f>
        <v>0</v>
      </c>
      <c r="G372" s="1332">
        <v>3409505.73</v>
      </c>
      <c r="H372" s="1332">
        <v>11059.2</v>
      </c>
      <c r="I372" s="1332">
        <v>1000000</v>
      </c>
      <c r="J372" s="1333">
        <f>G372+H372-I372</f>
        <v>2420564.93</v>
      </c>
      <c r="K372" s="1332">
        <f>C372+G372</f>
        <v>3409505.73</v>
      </c>
      <c r="L372" s="1333">
        <f>F372+J372</f>
        <v>2420564.93</v>
      </c>
    </row>
    <row r="373" spans="1:12" s="145" customFormat="1" ht="27.75" customHeight="1">
      <c r="A373" s="110"/>
      <c r="B373" s="119" t="s">
        <v>210</v>
      </c>
      <c r="C373" s="1243">
        <f>SUM(C370:C372,)</f>
        <v>0</v>
      </c>
      <c r="D373" s="1243">
        <f aca="true" t="shared" si="116" ref="D373:L373">SUM(D370:D372,)</f>
        <v>0</v>
      </c>
      <c r="E373" s="1243">
        <f t="shared" si="116"/>
        <v>0</v>
      </c>
      <c r="F373" s="1243">
        <f t="shared" si="116"/>
        <v>0</v>
      </c>
      <c r="G373" s="1243">
        <f t="shared" si="116"/>
        <v>3509505.73</v>
      </c>
      <c r="H373" s="1243">
        <f t="shared" si="116"/>
        <v>11059.2</v>
      </c>
      <c r="I373" s="1243">
        <f t="shared" si="116"/>
        <v>1000000</v>
      </c>
      <c r="J373" s="1243">
        <f t="shared" si="116"/>
        <v>2520564.93</v>
      </c>
      <c r="K373" s="1243">
        <f t="shared" si="116"/>
        <v>3509505.73</v>
      </c>
      <c r="L373" s="1243">
        <f t="shared" si="116"/>
        <v>2520564.93</v>
      </c>
    </row>
    <row r="374" spans="1:12" s="145" customFormat="1" ht="27.75" customHeight="1">
      <c r="A374" s="110">
        <v>742200</v>
      </c>
      <c r="B374" s="848" t="s">
        <v>1001</v>
      </c>
      <c r="C374" s="165"/>
      <c r="D374" s="165"/>
      <c r="E374" s="165"/>
      <c r="F374" s="165"/>
      <c r="G374" s="165"/>
      <c r="H374" s="165"/>
      <c r="I374" s="165"/>
      <c r="J374" s="165"/>
      <c r="K374" s="165"/>
      <c r="L374" s="860"/>
    </row>
    <row r="375" spans="1:12" s="145" customFormat="1" ht="22.5" customHeight="1">
      <c r="A375" s="121">
        <v>742213</v>
      </c>
      <c r="B375" s="122" t="s">
        <v>525</v>
      </c>
      <c r="C375" s="1248">
        <v>0</v>
      </c>
      <c r="D375" s="1248"/>
      <c r="E375" s="1248"/>
      <c r="F375" s="991">
        <f>C375+D375-E375</f>
        <v>0</v>
      </c>
      <c r="G375" s="1248">
        <v>233750.93</v>
      </c>
      <c r="H375" s="1248"/>
      <c r="I375" s="1248"/>
      <c r="J375" s="991">
        <f>G375+H375-I375</f>
        <v>233750.93</v>
      </c>
      <c r="K375" s="1248">
        <f>C375+G375</f>
        <v>233750.93</v>
      </c>
      <c r="L375" s="991">
        <f>F375+J375</f>
        <v>233750.93</v>
      </c>
    </row>
    <row r="376" spans="1:12" s="145" customFormat="1" ht="31.5" customHeight="1">
      <c r="A376" s="118"/>
      <c r="B376" s="119" t="s">
        <v>211</v>
      </c>
      <c r="C376" s="1243">
        <f>SUM(C375)</f>
        <v>0</v>
      </c>
      <c r="D376" s="1243">
        <f aca="true" t="shared" si="117" ref="D376:L376">SUM(D375)</f>
        <v>0</v>
      </c>
      <c r="E376" s="1243">
        <f t="shared" si="117"/>
        <v>0</v>
      </c>
      <c r="F376" s="1243">
        <f t="shared" si="117"/>
        <v>0</v>
      </c>
      <c r="G376" s="1243">
        <f t="shared" si="117"/>
        <v>233750.93</v>
      </c>
      <c r="H376" s="1243">
        <f t="shared" si="117"/>
        <v>0</v>
      </c>
      <c r="I376" s="1243">
        <f t="shared" si="117"/>
        <v>0</v>
      </c>
      <c r="J376" s="1243">
        <f t="shared" si="117"/>
        <v>233750.93</v>
      </c>
      <c r="K376" s="1243">
        <f t="shared" si="117"/>
        <v>233750.93</v>
      </c>
      <c r="L376" s="1243">
        <f t="shared" si="117"/>
        <v>233750.93</v>
      </c>
    </row>
    <row r="377" spans="1:12" s="145" customFormat="1" ht="31.5" customHeight="1">
      <c r="A377" s="110"/>
      <c r="B377" s="848" t="s">
        <v>942</v>
      </c>
      <c r="C377" s="1264">
        <f>SUM(C376,C373,C368)</f>
        <v>0</v>
      </c>
      <c r="D377" s="1264">
        <f aca="true" t="shared" si="118" ref="D377:L377">SUM(D376,D373,D368)</f>
        <v>0</v>
      </c>
      <c r="E377" s="1264">
        <f t="shared" si="118"/>
        <v>0</v>
      </c>
      <c r="F377" s="1264">
        <f t="shared" si="118"/>
        <v>0</v>
      </c>
      <c r="G377" s="1264">
        <f t="shared" si="118"/>
        <v>4136065.66</v>
      </c>
      <c r="H377" s="1264">
        <f t="shared" si="118"/>
        <v>11059.2</v>
      </c>
      <c r="I377" s="1264">
        <f t="shared" si="118"/>
        <v>1000000</v>
      </c>
      <c r="J377" s="1264">
        <f t="shared" si="118"/>
        <v>3147124.8600000003</v>
      </c>
      <c r="K377" s="1264">
        <f t="shared" si="118"/>
        <v>4136065.66</v>
      </c>
      <c r="L377" s="1264">
        <f t="shared" si="118"/>
        <v>3147124.8600000003</v>
      </c>
    </row>
    <row r="378" spans="1:12" s="145" customFormat="1" ht="47.25" customHeight="1">
      <c r="A378" s="110"/>
      <c r="B378" s="848" t="s">
        <v>1056</v>
      </c>
      <c r="C378" s="1264">
        <f>SUM(C377,C364,C359)</f>
        <v>6060000</v>
      </c>
      <c r="D378" s="1264">
        <f aca="true" t="shared" si="119" ref="D378:L378">SUM(D377,D364,D359)</f>
        <v>499627.92000000004</v>
      </c>
      <c r="E378" s="1264">
        <f t="shared" si="119"/>
        <v>0</v>
      </c>
      <c r="F378" s="1264">
        <f t="shared" si="119"/>
        <v>6559627.92</v>
      </c>
      <c r="G378" s="1264">
        <f t="shared" si="119"/>
        <v>4146065.66</v>
      </c>
      <c r="H378" s="1264">
        <f t="shared" si="119"/>
        <v>11059.2</v>
      </c>
      <c r="I378" s="1264">
        <f t="shared" si="119"/>
        <v>1000000</v>
      </c>
      <c r="J378" s="1264">
        <f t="shared" si="119"/>
        <v>3157124.8600000003</v>
      </c>
      <c r="K378" s="1264">
        <f t="shared" si="119"/>
        <v>10206065.66</v>
      </c>
      <c r="L378" s="1264">
        <f t="shared" si="119"/>
        <v>9716752.780000001</v>
      </c>
    </row>
    <row r="379" spans="1:12" s="145" customFormat="1" ht="30.75" customHeight="1">
      <c r="A379" s="110">
        <v>810000</v>
      </c>
      <c r="B379" s="848" t="s">
        <v>1002</v>
      </c>
      <c r="C379" s="1264"/>
      <c r="D379" s="1264"/>
      <c r="E379" s="1264"/>
      <c r="F379" s="1264"/>
      <c r="G379" s="1264"/>
      <c r="H379" s="1264"/>
      <c r="I379" s="1264"/>
      <c r="J379" s="1264"/>
      <c r="K379" s="1264"/>
      <c r="L379" s="966"/>
    </row>
    <row r="380" spans="1:12" s="145" customFormat="1" ht="21" customHeight="1">
      <c r="A380" s="97">
        <v>811100</v>
      </c>
      <c r="B380" s="849" t="s">
        <v>970</v>
      </c>
      <c r="C380" s="165"/>
      <c r="D380" s="165"/>
      <c r="E380" s="165"/>
      <c r="F380" s="165"/>
      <c r="G380" s="165"/>
      <c r="H380" s="165"/>
      <c r="I380" s="165"/>
      <c r="J380" s="165"/>
      <c r="K380" s="165"/>
      <c r="L380" s="165"/>
    </row>
    <row r="381" spans="1:12" s="145" customFormat="1" ht="27.75" customHeight="1">
      <c r="A381" s="1410">
        <v>811111</v>
      </c>
      <c r="B381" s="1414" t="s">
        <v>927</v>
      </c>
      <c r="C381" s="1332">
        <v>2500000</v>
      </c>
      <c r="D381" s="1332">
        <v>600000</v>
      </c>
      <c r="E381" s="1332"/>
      <c r="F381" s="1333">
        <f>C381+D381-E381</f>
        <v>3100000</v>
      </c>
      <c r="G381" s="1332">
        <v>0</v>
      </c>
      <c r="H381" s="1332"/>
      <c r="I381" s="1332"/>
      <c r="J381" s="1333">
        <f>G381+H381-I381</f>
        <v>0</v>
      </c>
      <c r="K381" s="1332">
        <f>C381+G381</f>
        <v>2500000</v>
      </c>
      <c r="L381" s="1333">
        <f>F381+J381</f>
        <v>3100000</v>
      </c>
    </row>
    <row r="382" spans="1:12" s="145" customFormat="1" ht="27.75" customHeight="1">
      <c r="A382" s="105">
        <v>811115</v>
      </c>
      <c r="B382" s="945" t="s">
        <v>1009</v>
      </c>
      <c r="C382" s="1248">
        <v>50000</v>
      </c>
      <c r="D382" s="1248"/>
      <c r="E382" s="1248"/>
      <c r="F382" s="991">
        <f>C382+D382-E382</f>
        <v>50000</v>
      </c>
      <c r="G382" s="1248">
        <v>0</v>
      </c>
      <c r="H382" s="1248"/>
      <c r="I382" s="1248"/>
      <c r="J382" s="991">
        <f>G382+H382-I382</f>
        <v>0</v>
      </c>
      <c r="K382" s="1248">
        <f>C382+G382</f>
        <v>50000</v>
      </c>
      <c r="L382" s="991">
        <f>F382+J382</f>
        <v>50000</v>
      </c>
    </row>
    <row r="383" spans="1:12" s="145" customFormat="1" ht="30.75" customHeight="1">
      <c r="A383" s="110"/>
      <c r="B383" s="850" t="s">
        <v>845</v>
      </c>
      <c r="C383" s="1264">
        <f>SUM(C381,C382,)</f>
        <v>2550000</v>
      </c>
      <c r="D383" s="1264">
        <f aca="true" t="shared" si="120" ref="D383:L383">SUM(D381,D382,)</f>
        <v>600000</v>
      </c>
      <c r="E383" s="1264">
        <f t="shared" si="120"/>
        <v>0</v>
      </c>
      <c r="F383" s="1264">
        <f t="shared" si="120"/>
        <v>3150000</v>
      </c>
      <c r="G383" s="1264">
        <f t="shared" si="120"/>
        <v>0</v>
      </c>
      <c r="H383" s="1264">
        <f t="shared" si="120"/>
        <v>0</v>
      </c>
      <c r="I383" s="1264">
        <f t="shared" si="120"/>
        <v>0</v>
      </c>
      <c r="J383" s="1264">
        <f t="shared" si="120"/>
        <v>0</v>
      </c>
      <c r="K383" s="1264">
        <f t="shared" si="120"/>
        <v>2550000</v>
      </c>
      <c r="L383" s="1256">
        <f t="shared" si="120"/>
        <v>3150000</v>
      </c>
    </row>
    <row r="384" spans="1:12" s="145" customFormat="1" ht="30.75" customHeight="1">
      <c r="A384" s="110">
        <v>814300</v>
      </c>
      <c r="B384" s="848" t="s">
        <v>1088</v>
      </c>
      <c r="C384" s="1264"/>
      <c r="D384" s="1264"/>
      <c r="E384" s="1264"/>
      <c r="F384" s="1264"/>
      <c r="G384" s="1264"/>
      <c r="H384" s="1264"/>
      <c r="I384" s="1264"/>
      <c r="J384" s="1264"/>
      <c r="K384" s="1264"/>
      <c r="L384" s="956"/>
    </row>
    <row r="385" spans="1:12" s="145" customFormat="1" ht="22.5" customHeight="1">
      <c r="A385" s="818">
        <v>814331</v>
      </c>
      <c r="B385" s="858" t="s">
        <v>1089</v>
      </c>
      <c r="C385" s="1225">
        <v>7000000</v>
      </c>
      <c r="D385" s="1225"/>
      <c r="E385" s="1225"/>
      <c r="F385" s="991">
        <f>C385+D385-E385</f>
        <v>7000000</v>
      </c>
      <c r="G385" s="1225">
        <v>0</v>
      </c>
      <c r="H385" s="1225"/>
      <c r="I385" s="1225"/>
      <c r="J385" s="991">
        <f>G385+H385-I385</f>
        <v>0</v>
      </c>
      <c r="K385" s="1248">
        <f>C385+G385</f>
        <v>7000000</v>
      </c>
      <c r="L385" s="991">
        <f>F385+J385</f>
        <v>7000000</v>
      </c>
    </row>
    <row r="386" spans="1:12" s="145" customFormat="1" ht="30.75" customHeight="1">
      <c r="A386" s="110"/>
      <c r="B386" s="850" t="s">
        <v>1090</v>
      </c>
      <c r="C386" s="1264">
        <f>SUM(C385)</f>
        <v>7000000</v>
      </c>
      <c r="D386" s="1264">
        <f aca="true" t="shared" si="121" ref="D386:L386">SUM(D385)</f>
        <v>0</v>
      </c>
      <c r="E386" s="1264">
        <f t="shared" si="121"/>
        <v>0</v>
      </c>
      <c r="F386" s="1264">
        <f t="shared" si="121"/>
        <v>7000000</v>
      </c>
      <c r="G386" s="1264">
        <f t="shared" si="121"/>
        <v>0</v>
      </c>
      <c r="H386" s="1264">
        <f t="shared" si="121"/>
        <v>0</v>
      </c>
      <c r="I386" s="1264">
        <f t="shared" si="121"/>
        <v>0</v>
      </c>
      <c r="J386" s="1264">
        <f t="shared" si="121"/>
        <v>0</v>
      </c>
      <c r="K386" s="1264">
        <f t="shared" si="121"/>
        <v>7000000</v>
      </c>
      <c r="L386" s="1264">
        <f t="shared" si="121"/>
        <v>7000000</v>
      </c>
    </row>
    <row r="387" spans="1:12" s="145" customFormat="1" ht="30.75" customHeight="1">
      <c r="A387" s="110"/>
      <c r="B387" s="848" t="s">
        <v>971</v>
      </c>
      <c r="C387" s="1264">
        <f>SUM(C383,C386,)</f>
        <v>9550000</v>
      </c>
      <c r="D387" s="1264">
        <f aca="true" t="shared" si="122" ref="D387:L387">SUM(D383,D386,)</f>
        <v>600000</v>
      </c>
      <c r="E387" s="1264">
        <f t="shared" si="122"/>
        <v>0</v>
      </c>
      <c r="F387" s="1264">
        <f t="shared" si="122"/>
        <v>10150000</v>
      </c>
      <c r="G387" s="1264">
        <f t="shared" si="122"/>
        <v>0</v>
      </c>
      <c r="H387" s="1264">
        <f t="shared" si="122"/>
        <v>0</v>
      </c>
      <c r="I387" s="1264">
        <f t="shared" si="122"/>
        <v>0</v>
      </c>
      <c r="J387" s="1264">
        <f t="shared" si="122"/>
        <v>0</v>
      </c>
      <c r="K387" s="1264">
        <f t="shared" si="122"/>
        <v>9550000</v>
      </c>
      <c r="L387" s="1264">
        <f t="shared" si="122"/>
        <v>10150000</v>
      </c>
    </row>
    <row r="388" spans="1:12" s="120" customFormat="1" ht="67.5" customHeight="1">
      <c r="A388" s="171"/>
      <c r="B388" s="848" t="s">
        <v>1055</v>
      </c>
      <c r="C388" s="1243">
        <f>SUM(C378+C387,)</f>
        <v>15610000</v>
      </c>
      <c r="D388" s="1243">
        <f aca="true" t="shared" si="123" ref="D388:L388">SUM(D378+D387,)</f>
        <v>1099627.92</v>
      </c>
      <c r="E388" s="1243">
        <f t="shared" si="123"/>
        <v>0</v>
      </c>
      <c r="F388" s="1243">
        <f t="shared" si="123"/>
        <v>16709627.92</v>
      </c>
      <c r="G388" s="1243">
        <f t="shared" si="123"/>
        <v>4146065.66</v>
      </c>
      <c r="H388" s="1243">
        <f t="shared" si="123"/>
        <v>11059.2</v>
      </c>
      <c r="I388" s="1243">
        <f t="shared" si="123"/>
        <v>1000000</v>
      </c>
      <c r="J388" s="1243">
        <f t="shared" si="123"/>
        <v>3157124.8600000003</v>
      </c>
      <c r="K388" s="1243">
        <f t="shared" si="123"/>
        <v>19756065.66</v>
      </c>
      <c r="L388" s="1243">
        <f t="shared" si="123"/>
        <v>19866752.78</v>
      </c>
    </row>
    <row r="389" spans="1:12" s="120" customFormat="1" ht="34.5" customHeight="1">
      <c r="A389" s="1481"/>
      <c r="B389" s="1482" t="s">
        <v>1031</v>
      </c>
      <c r="C389" s="1478">
        <v>1554994.18</v>
      </c>
      <c r="D389" s="1478">
        <v>0</v>
      </c>
      <c r="E389" s="1478">
        <v>299627.92</v>
      </c>
      <c r="F389" s="1478">
        <f>C389+D389-E389</f>
        <v>1255366.26</v>
      </c>
      <c r="G389" s="1478">
        <v>0</v>
      </c>
      <c r="H389" s="1478">
        <v>0</v>
      </c>
      <c r="I389" s="1478">
        <v>0</v>
      </c>
      <c r="J389" s="1478">
        <v>0</v>
      </c>
      <c r="K389" s="1478">
        <f>C389+G389</f>
        <v>1554994.18</v>
      </c>
      <c r="L389" s="1479">
        <f>F389+J389</f>
        <v>1255366.26</v>
      </c>
    </row>
    <row r="390" spans="1:12" s="120" customFormat="1" ht="39.75" customHeight="1" thickBot="1">
      <c r="A390" s="152"/>
      <c r="B390" s="840" t="s">
        <v>1032</v>
      </c>
      <c r="C390" s="165">
        <v>500000</v>
      </c>
      <c r="D390" s="165">
        <v>0</v>
      </c>
      <c r="E390" s="165">
        <v>0</v>
      </c>
      <c r="F390" s="165">
        <v>500000</v>
      </c>
      <c r="G390" s="165">
        <v>0</v>
      </c>
      <c r="H390" s="165">
        <v>0</v>
      </c>
      <c r="I390" s="165">
        <v>0</v>
      </c>
      <c r="J390" s="165">
        <v>0</v>
      </c>
      <c r="K390" s="165">
        <v>500000</v>
      </c>
      <c r="L390" s="165">
        <v>500000</v>
      </c>
    </row>
    <row r="391" spans="1:12" s="120" customFormat="1" ht="48.75" customHeight="1" thickBot="1">
      <c r="A391" s="168"/>
      <c r="B391" s="1087" t="s">
        <v>1079</v>
      </c>
      <c r="C391" s="1263">
        <f>SUM(C388:C390)</f>
        <v>17664994.18</v>
      </c>
      <c r="D391" s="1263">
        <f aca="true" t="shared" si="124" ref="D391:L391">SUM(D388:D390)</f>
        <v>1099627.92</v>
      </c>
      <c r="E391" s="1263">
        <f t="shared" si="124"/>
        <v>299627.92</v>
      </c>
      <c r="F391" s="1263">
        <f t="shared" si="124"/>
        <v>18464994.18</v>
      </c>
      <c r="G391" s="1263">
        <f t="shared" si="124"/>
        <v>4146065.66</v>
      </c>
      <c r="H391" s="1263">
        <f t="shared" si="124"/>
        <v>11059.2</v>
      </c>
      <c r="I391" s="1263">
        <f t="shared" si="124"/>
        <v>1000000</v>
      </c>
      <c r="J391" s="1263">
        <f t="shared" si="124"/>
        <v>3157124.8600000003</v>
      </c>
      <c r="K391" s="1263">
        <f t="shared" si="124"/>
        <v>21811059.84</v>
      </c>
      <c r="L391" s="1263">
        <f t="shared" si="124"/>
        <v>21622119.040000003</v>
      </c>
    </row>
    <row r="392" spans="1:12" ht="20.25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</row>
    <row r="393" spans="1:12" ht="21" thickBot="1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</row>
    <row r="394" spans="1:12" ht="261" customHeight="1">
      <c r="A394" s="92" t="s">
        <v>323</v>
      </c>
      <c r="B394" s="93" t="s">
        <v>342</v>
      </c>
      <c r="C394" s="813" t="s">
        <v>1124</v>
      </c>
      <c r="D394" s="813" t="s">
        <v>1332</v>
      </c>
      <c r="E394" s="813" t="s">
        <v>1333</v>
      </c>
      <c r="F394" s="813" t="s">
        <v>1334</v>
      </c>
      <c r="G394" s="813" t="s">
        <v>1184</v>
      </c>
      <c r="H394" s="813" t="s">
        <v>1335</v>
      </c>
      <c r="I394" s="813" t="s">
        <v>1336</v>
      </c>
      <c r="J394" s="813" t="s">
        <v>1337</v>
      </c>
      <c r="K394" s="813" t="s">
        <v>1125</v>
      </c>
      <c r="L394" s="813" t="s">
        <v>1331</v>
      </c>
    </row>
    <row r="395" spans="1:12" ht="20.25">
      <c r="A395" s="94">
        <v>0</v>
      </c>
      <c r="B395" s="95">
        <v>1</v>
      </c>
      <c r="C395" s="1241">
        <v>2</v>
      </c>
      <c r="D395" s="1241">
        <v>3</v>
      </c>
      <c r="E395" s="1241">
        <v>4</v>
      </c>
      <c r="F395" s="1241">
        <v>5</v>
      </c>
      <c r="G395" s="1241">
        <v>6</v>
      </c>
      <c r="H395" s="1241">
        <v>7</v>
      </c>
      <c r="I395" s="1241">
        <v>8</v>
      </c>
      <c r="J395" s="1241">
        <v>9</v>
      </c>
      <c r="K395" s="1241">
        <v>10</v>
      </c>
      <c r="L395" s="990">
        <v>11</v>
      </c>
    </row>
    <row r="396" spans="1:12" ht="65.25" customHeight="1">
      <c r="A396" s="181"/>
      <c r="B396" s="131" t="s">
        <v>1110</v>
      </c>
      <c r="C396" s="1251"/>
      <c r="D396" s="1251"/>
      <c r="E396" s="1251"/>
      <c r="F396" s="1251"/>
      <c r="G396" s="1251"/>
      <c r="H396" s="1251"/>
      <c r="I396" s="1251"/>
      <c r="J396" s="1251"/>
      <c r="K396" s="1251"/>
      <c r="L396" s="1145"/>
    </row>
    <row r="397" spans="1:12" ht="40.5" customHeight="1">
      <c r="A397" s="97">
        <v>710000</v>
      </c>
      <c r="B397" s="98" t="s">
        <v>343</v>
      </c>
      <c r="C397" s="1252"/>
      <c r="D397" s="1252"/>
      <c r="E397" s="1252"/>
      <c r="F397" s="1252"/>
      <c r="G397" s="1252"/>
      <c r="H397" s="1252"/>
      <c r="I397" s="1252"/>
      <c r="J397" s="1252"/>
      <c r="K397" s="1252"/>
      <c r="L397" s="1146"/>
    </row>
    <row r="398" spans="1:12" ht="34.5" customHeight="1">
      <c r="A398" s="1144">
        <v>719100</v>
      </c>
      <c r="B398" s="1148" t="s">
        <v>493</v>
      </c>
      <c r="C398" s="1242"/>
      <c r="D398" s="1242"/>
      <c r="E398" s="1242"/>
      <c r="F398" s="1242"/>
      <c r="G398" s="1242"/>
      <c r="H398" s="1242"/>
      <c r="I398" s="1242"/>
      <c r="J398" s="1242"/>
      <c r="K398" s="1242"/>
      <c r="L398" s="867"/>
    </row>
    <row r="399" spans="1:12" ht="34.5" customHeight="1">
      <c r="A399" s="121">
        <v>719114</v>
      </c>
      <c r="B399" s="122" t="s">
        <v>455</v>
      </c>
      <c r="C399" s="1248">
        <v>2000</v>
      </c>
      <c r="D399" s="1248"/>
      <c r="E399" s="1248"/>
      <c r="F399" s="991">
        <f>C399+D399-E399</f>
        <v>2000</v>
      </c>
      <c r="G399" s="1248">
        <v>0</v>
      </c>
      <c r="H399" s="1248"/>
      <c r="I399" s="1248"/>
      <c r="J399" s="991">
        <f>G399+H399-I399</f>
        <v>0</v>
      </c>
      <c r="K399" s="1248">
        <f>C399+G399</f>
        <v>2000</v>
      </c>
      <c r="L399" s="991">
        <f>F399+J399</f>
        <v>2000</v>
      </c>
    </row>
    <row r="400" spans="1:12" ht="53.25" customHeight="1">
      <c r="A400" s="146">
        <v>719115</v>
      </c>
      <c r="B400" s="147" t="s">
        <v>542</v>
      </c>
      <c r="C400" s="1248">
        <v>500</v>
      </c>
      <c r="D400" s="1248"/>
      <c r="E400" s="1248"/>
      <c r="F400" s="991">
        <f>C400+D400-E400</f>
        <v>500</v>
      </c>
      <c r="G400" s="1248">
        <v>0</v>
      </c>
      <c r="H400" s="1248"/>
      <c r="I400" s="1248"/>
      <c r="J400" s="991">
        <f>G400+H400-I400</f>
        <v>0</v>
      </c>
      <c r="K400" s="1248">
        <f>C400+G400</f>
        <v>500</v>
      </c>
      <c r="L400" s="991">
        <f>F400+J400</f>
        <v>500</v>
      </c>
    </row>
    <row r="401" spans="1:12" s="145" customFormat="1" ht="34.5" customHeight="1">
      <c r="A401" s="118"/>
      <c r="B401" s="119" t="s">
        <v>456</v>
      </c>
      <c r="C401" s="1243">
        <f>SUM(C399:C400)</f>
        <v>2500</v>
      </c>
      <c r="D401" s="1243">
        <f aca="true" t="shared" si="125" ref="D401:L401">SUM(D399:D400)</f>
        <v>0</v>
      </c>
      <c r="E401" s="1243">
        <f t="shared" si="125"/>
        <v>0</v>
      </c>
      <c r="F401" s="1243">
        <f t="shared" si="125"/>
        <v>2500</v>
      </c>
      <c r="G401" s="1243">
        <f t="shared" si="125"/>
        <v>0</v>
      </c>
      <c r="H401" s="1243">
        <f t="shared" si="125"/>
        <v>0</v>
      </c>
      <c r="I401" s="1243">
        <f t="shared" si="125"/>
        <v>0</v>
      </c>
      <c r="J401" s="1243">
        <f t="shared" si="125"/>
        <v>0</v>
      </c>
      <c r="K401" s="1243">
        <f t="shared" si="125"/>
        <v>2500</v>
      </c>
      <c r="L401" s="1243">
        <f t="shared" si="125"/>
        <v>2500</v>
      </c>
    </row>
    <row r="402" spans="1:12" s="145" customFormat="1" ht="34.5" customHeight="1">
      <c r="A402" s="118"/>
      <c r="B402" s="119" t="s">
        <v>228</v>
      </c>
      <c r="C402" s="1243">
        <f>SUM(C401)</f>
        <v>2500</v>
      </c>
      <c r="D402" s="1243">
        <f aca="true" t="shared" si="126" ref="D402:L402">SUM(D401)</f>
        <v>0</v>
      </c>
      <c r="E402" s="1243">
        <f t="shared" si="126"/>
        <v>0</v>
      </c>
      <c r="F402" s="1243">
        <f t="shared" si="126"/>
        <v>2500</v>
      </c>
      <c r="G402" s="1243">
        <f t="shared" si="126"/>
        <v>0</v>
      </c>
      <c r="H402" s="1243">
        <f t="shared" si="126"/>
        <v>0</v>
      </c>
      <c r="I402" s="1243">
        <f t="shared" si="126"/>
        <v>0</v>
      </c>
      <c r="J402" s="1243">
        <f t="shared" si="126"/>
        <v>0</v>
      </c>
      <c r="K402" s="1243">
        <f t="shared" si="126"/>
        <v>2500</v>
      </c>
      <c r="L402" s="1243">
        <f t="shared" si="126"/>
        <v>2500</v>
      </c>
    </row>
    <row r="403" spans="1:12" s="145" customFormat="1" ht="45.75" customHeight="1">
      <c r="A403" s="97">
        <v>720000</v>
      </c>
      <c r="B403" s="98" t="s">
        <v>375</v>
      </c>
      <c r="C403" s="165"/>
      <c r="D403" s="165"/>
      <c r="E403" s="165"/>
      <c r="F403" s="165"/>
      <c r="G403" s="165"/>
      <c r="H403" s="165"/>
      <c r="I403" s="165"/>
      <c r="J403" s="165"/>
      <c r="K403" s="165"/>
      <c r="L403" s="862"/>
    </row>
    <row r="404" spans="1:12" s="145" customFormat="1" ht="41.25" customHeight="1" hidden="1">
      <c r="A404" s="97">
        <v>721200</v>
      </c>
      <c r="B404" s="98" t="s">
        <v>379</v>
      </c>
      <c r="C404" s="165"/>
      <c r="D404" s="165"/>
      <c r="E404" s="165"/>
      <c r="F404" s="165"/>
      <c r="G404" s="165"/>
      <c r="H404" s="165"/>
      <c r="I404" s="165"/>
      <c r="J404" s="165"/>
      <c r="K404" s="165"/>
      <c r="L404" s="862"/>
    </row>
    <row r="405" spans="1:12" s="145" customFormat="1" ht="41.25" customHeight="1" hidden="1">
      <c r="A405" s="146">
        <v>721211</v>
      </c>
      <c r="B405" s="155" t="s">
        <v>29</v>
      </c>
      <c r="C405" s="1248"/>
      <c r="D405" s="1248"/>
      <c r="E405" s="1248"/>
      <c r="F405" s="1248"/>
      <c r="G405" s="1248"/>
      <c r="H405" s="1248"/>
      <c r="I405" s="1248"/>
      <c r="J405" s="1248"/>
      <c r="K405" s="1248"/>
      <c r="L405" s="863"/>
    </row>
    <row r="406" spans="1:12" s="145" customFormat="1" ht="41.25" customHeight="1" hidden="1">
      <c r="A406" s="110"/>
      <c r="B406" s="1147" t="s">
        <v>381</v>
      </c>
      <c r="C406" s="165"/>
      <c r="D406" s="165"/>
      <c r="E406" s="165"/>
      <c r="F406" s="165"/>
      <c r="G406" s="165"/>
      <c r="H406" s="165"/>
      <c r="I406" s="165"/>
      <c r="J406" s="165"/>
      <c r="K406" s="165"/>
      <c r="L406" s="864"/>
    </row>
    <row r="407" spans="1:12" s="145" customFormat="1" ht="41.25" customHeight="1">
      <c r="A407" s="97">
        <v>721200</v>
      </c>
      <c r="B407" s="849" t="s">
        <v>379</v>
      </c>
      <c r="C407" s="165"/>
      <c r="D407" s="165"/>
      <c r="E407" s="165"/>
      <c r="F407" s="165"/>
      <c r="G407" s="165"/>
      <c r="H407" s="165"/>
      <c r="I407" s="165"/>
      <c r="J407" s="165"/>
      <c r="K407" s="165"/>
      <c r="L407" s="864"/>
    </row>
    <row r="408" spans="1:12" s="145" customFormat="1" ht="31.5" customHeight="1">
      <c r="A408" s="865">
        <v>721211</v>
      </c>
      <c r="B408" s="866" t="s">
        <v>29</v>
      </c>
      <c r="C408" s="1248">
        <v>500</v>
      </c>
      <c r="D408" s="1248"/>
      <c r="E408" s="1248"/>
      <c r="F408" s="991">
        <f>C408+D408-E408</f>
        <v>500</v>
      </c>
      <c r="G408" s="1248">
        <v>0</v>
      </c>
      <c r="H408" s="1248"/>
      <c r="I408" s="1248"/>
      <c r="J408" s="991">
        <f>G408+H408-I408</f>
        <v>0</v>
      </c>
      <c r="K408" s="1248">
        <f>C408+G408</f>
        <v>500</v>
      </c>
      <c r="L408" s="991">
        <f>F408+J408</f>
        <v>500</v>
      </c>
    </row>
    <row r="409" spans="1:12" s="145" customFormat="1" ht="41.25" customHeight="1">
      <c r="A409" s="118"/>
      <c r="B409" s="850" t="s">
        <v>381</v>
      </c>
      <c r="C409" s="1256">
        <f>SUM(C408)</f>
        <v>500</v>
      </c>
      <c r="D409" s="1256">
        <f aca="true" t="shared" si="127" ref="D409:L409">SUM(D408)</f>
        <v>0</v>
      </c>
      <c r="E409" s="1256">
        <f t="shared" si="127"/>
        <v>0</v>
      </c>
      <c r="F409" s="1256">
        <f t="shared" si="127"/>
        <v>500</v>
      </c>
      <c r="G409" s="1256">
        <f t="shared" si="127"/>
        <v>0</v>
      </c>
      <c r="H409" s="1256">
        <f t="shared" si="127"/>
        <v>0</v>
      </c>
      <c r="I409" s="1256">
        <f t="shared" si="127"/>
        <v>0</v>
      </c>
      <c r="J409" s="1256">
        <f t="shared" si="127"/>
        <v>0</v>
      </c>
      <c r="K409" s="1256">
        <f t="shared" si="127"/>
        <v>500</v>
      </c>
      <c r="L409" s="1256">
        <f t="shared" si="127"/>
        <v>500</v>
      </c>
    </row>
    <row r="410" spans="1:12" ht="58.5" customHeight="1">
      <c r="A410" s="97">
        <v>722500</v>
      </c>
      <c r="B410" s="849" t="s">
        <v>1058</v>
      </c>
      <c r="C410" s="1253"/>
      <c r="D410" s="1253"/>
      <c r="E410" s="1253"/>
      <c r="F410" s="1253"/>
      <c r="G410" s="1253"/>
      <c r="H410" s="1253"/>
      <c r="I410" s="1253"/>
      <c r="J410" s="1253"/>
      <c r="K410" s="1253"/>
      <c r="L410" s="864"/>
    </row>
    <row r="411" spans="1:12" s="135" customFormat="1" ht="53.25" customHeight="1">
      <c r="A411" s="146">
        <v>722581</v>
      </c>
      <c r="B411" s="147" t="s">
        <v>92</v>
      </c>
      <c r="C411" s="1249">
        <v>2990982.1</v>
      </c>
      <c r="D411" s="1249"/>
      <c r="E411" s="1249"/>
      <c r="F411" s="1086">
        <f>C411+D411-E411</f>
        <v>2990982.1</v>
      </c>
      <c r="G411" s="1249">
        <v>0</v>
      </c>
      <c r="H411" s="1249"/>
      <c r="I411" s="1249"/>
      <c r="J411" s="1086">
        <f>G411+H411-I411</f>
        <v>0</v>
      </c>
      <c r="K411" s="1249">
        <f>C411+G411</f>
        <v>2990982.1</v>
      </c>
      <c r="L411" s="1086">
        <f>F411+J411</f>
        <v>2990982.1</v>
      </c>
    </row>
    <row r="412" spans="1:12" ht="70.5" customHeight="1">
      <c r="A412" s="133">
        <v>722582</v>
      </c>
      <c r="B412" s="122" t="s">
        <v>93</v>
      </c>
      <c r="C412" s="1249">
        <v>75979.5</v>
      </c>
      <c r="D412" s="1249"/>
      <c r="E412" s="1249"/>
      <c r="F412" s="1086">
        <f>C412+D412-E412</f>
        <v>75979.5</v>
      </c>
      <c r="G412" s="1249">
        <v>0</v>
      </c>
      <c r="H412" s="1249"/>
      <c r="I412" s="1249"/>
      <c r="J412" s="1086">
        <f>G412+H412-I412</f>
        <v>0</v>
      </c>
      <c r="K412" s="1249">
        <f>C412+G412</f>
        <v>75979.5</v>
      </c>
      <c r="L412" s="1086">
        <f>F412+J412</f>
        <v>75979.5</v>
      </c>
    </row>
    <row r="413" spans="1:12" s="145" customFormat="1" ht="34.5" customHeight="1">
      <c r="A413" s="118"/>
      <c r="B413" s="119" t="s">
        <v>413</v>
      </c>
      <c r="C413" s="1243">
        <f>SUM(C411:C412)</f>
        <v>3066961.6</v>
      </c>
      <c r="D413" s="1243">
        <f aca="true" t="shared" si="128" ref="D413:L413">SUM(D411:D412)</f>
        <v>0</v>
      </c>
      <c r="E413" s="1243">
        <f t="shared" si="128"/>
        <v>0</v>
      </c>
      <c r="F413" s="1243">
        <f>SUM(F411:F412)</f>
        <v>3066961.6</v>
      </c>
      <c r="G413" s="1243">
        <f t="shared" si="128"/>
        <v>0</v>
      </c>
      <c r="H413" s="1243">
        <f t="shared" si="128"/>
        <v>0</v>
      </c>
      <c r="I413" s="1243">
        <f t="shared" si="128"/>
        <v>0</v>
      </c>
      <c r="J413" s="1243">
        <f t="shared" si="128"/>
        <v>0</v>
      </c>
      <c r="K413" s="1243">
        <f t="shared" si="128"/>
        <v>3066961.6</v>
      </c>
      <c r="L413" s="1243">
        <f t="shared" si="128"/>
        <v>3066961.6</v>
      </c>
    </row>
    <row r="414" spans="1:12" s="145" customFormat="1" ht="34.5" customHeight="1">
      <c r="A414" s="110"/>
      <c r="B414" s="109" t="s">
        <v>538</v>
      </c>
      <c r="C414" s="1243">
        <f>SUM(C413,C409)</f>
        <v>3067461.6</v>
      </c>
      <c r="D414" s="1243">
        <f aca="true" t="shared" si="129" ref="D414:L414">SUM(D413,D409)</f>
        <v>0</v>
      </c>
      <c r="E414" s="1243">
        <f t="shared" si="129"/>
        <v>0</v>
      </c>
      <c r="F414" s="1243">
        <f t="shared" si="129"/>
        <v>3067461.6</v>
      </c>
      <c r="G414" s="1243">
        <f t="shared" si="129"/>
        <v>0</v>
      </c>
      <c r="H414" s="1243">
        <f t="shared" si="129"/>
        <v>0</v>
      </c>
      <c r="I414" s="1243">
        <f t="shared" si="129"/>
        <v>0</v>
      </c>
      <c r="J414" s="1243">
        <f t="shared" si="129"/>
        <v>0</v>
      </c>
      <c r="K414" s="1243">
        <f t="shared" si="129"/>
        <v>3067461.6</v>
      </c>
      <c r="L414" s="1243">
        <f t="shared" si="129"/>
        <v>3067461.6</v>
      </c>
    </row>
    <row r="415" spans="1:12" ht="41.25" customHeight="1">
      <c r="A415" s="110">
        <v>730000</v>
      </c>
      <c r="B415" s="1147" t="s">
        <v>326</v>
      </c>
      <c r="C415" s="1242"/>
      <c r="D415" s="1242"/>
      <c r="E415" s="1242"/>
      <c r="F415" s="1242"/>
      <c r="G415" s="1242"/>
      <c r="H415" s="1242"/>
      <c r="I415" s="1242"/>
      <c r="J415" s="1242"/>
      <c r="K415" s="1242"/>
      <c r="L415" s="867"/>
    </row>
    <row r="416" spans="1:12" ht="35.25" customHeight="1">
      <c r="A416" s="97">
        <v>732100</v>
      </c>
      <c r="B416" s="1148" t="s">
        <v>492</v>
      </c>
      <c r="C416" s="1242"/>
      <c r="D416" s="1242"/>
      <c r="E416" s="1242"/>
      <c r="F416" s="1242"/>
      <c r="G416" s="1242"/>
      <c r="H416" s="1242"/>
      <c r="I416" s="1242"/>
      <c r="J416" s="1242"/>
      <c r="K416" s="1242"/>
      <c r="L416" s="867"/>
    </row>
    <row r="417" spans="1:12" ht="35.25" customHeight="1">
      <c r="A417" s="121">
        <v>732112</v>
      </c>
      <c r="B417" s="122" t="s">
        <v>337</v>
      </c>
      <c r="C417" s="1248">
        <v>0</v>
      </c>
      <c r="D417" s="1248"/>
      <c r="E417" s="1248"/>
      <c r="F417" s="991">
        <f>C417+D417-E417</f>
        <v>0</v>
      </c>
      <c r="G417" s="1248">
        <v>80000</v>
      </c>
      <c r="H417" s="1248"/>
      <c r="I417" s="1248"/>
      <c r="J417" s="991">
        <f>G417+H417-I417</f>
        <v>80000</v>
      </c>
      <c r="K417" s="1248">
        <f>C417+G417</f>
        <v>80000</v>
      </c>
      <c r="L417" s="991">
        <f>F417+J417</f>
        <v>80000</v>
      </c>
    </row>
    <row r="418" spans="1:12" ht="27.75" customHeight="1">
      <c r="A418" s="105">
        <v>732114</v>
      </c>
      <c r="B418" s="107" t="s">
        <v>328</v>
      </c>
      <c r="C418" s="1248">
        <v>0</v>
      </c>
      <c r="D418" s="1248"/>
      <c r="E418" s="1248"/>
      <c r="F418" s="991">
        <f>C418+D418-E418</f>
        <v>0</v>
      </c>
      <c r="G418" s="1248">
        <v>145000</v>
      </c>
      <c r="H418" s="1248"/>
      <c r="I418" s="1248"/>
      <c r="J418" s="991">
        <f>G418+H418-I418</f>
        <v>145000</v>
      </c>
      <c r="K418" s="1248">
        <f>C418+G418</f>
        <v>145000</v>
      </c>
      <c r="L418" s="991">
        <f>F418+J418</f>
        <v>145000</v>
      </c>
    </row>
    <row r="419" spans="1:12" ht="27.75" customHeight="1">
      <c r="A419" s="105">
        <v>732116</v>
      </c>
      <c r="B419" s="1091" t="s">
        <v>1072</v>
      </c>
      <c r="C419" s="1248">
        <v>0</v>
      </c>
      <c r="D419" s="1248"/>
      <c r="E419" s="1248"/>
      <c r="F419" s="991">
        <f>C419+D419-E419</f>
        <v>0</v>
      </c>
      <c r="G419" s="1248">
        <v>0</v>
      </c>
      <c r="H419" s="1248"/>
      <c r="I419" s="1248"/>
      <c r="J419" s="991">
        <f>G419+H419-I419</f>
        <v>0</v>
      </c>
      <c r="K419" s="1248">
        <f>C419+G419</f>
        <v>0</v>
      </c>
      <c r="L419" s="991">
        <f>F419+J419</f>
        <v>0</v>
      </c>
    </row>
    <row r="420" spans="1:12" s="145" customFormat="1" ht="34.5" customHeight="1">
      <c r="A420" s="151"/>
      <c r="B420" s="119" t="s">
        <v>453</v>
      </c>
      <c r="C420" s="1243">
        <f>SUM(C417:C419)</f>
        <v>0</v>
      </c>
      <c r="D420" s="1243">
        <f aca="true" t="shared" si="130" ref="D420:L420">SUM(D417:D419)</f>
        <v>0</v>
      </c>
      <c r="E420" s="1243">
        <f t="shared" si="130"/>
        <v>0</v>
      </c>
      <c r="F420" s="1243">
        <f t="shared" si="130"/>
        <v>0</v>
      </c>
      <c r="G420" s="1243">
        <f t="shared" si="130"/>
        <v>225000</v>
      </c>
      <c r="H420" s="1243">
        <f t="shared" si="130"/>
        <v>0</v>
      </c>
      <c r="I420" s="1243">
        <f t="shared" si="130"/>
        <v>0</v>
      </c>
      <c r="J420" s="1243">
        <f t="shared" si="130"/>
        <v>225000</v>
      </c>
      <c r="K420" s="1243">
        <f t="shared" si="130"/>
        <v>225000</v>
      </c>
      <c r="L420" s="1243">
        <f t="shared" si="130"/>
        <v>225000</v>
      </c>
    </row>
    <row r="421" spans="1:12" s="145" customFormat="1" ht="34.5" customHeight="1">
      <c r="A421" s="144"/>
      <c r="B421" s="1147" t="s">
        <v>327</v>
      </c>
      <c r="C421" s="1243">
        <f>SUM(C420)</f>
        <v>0</v>
      </c>
      <c r="D421" s="1243">
        <f aca="true" t="shared" si="131" ref="D421:L421">SUM(D420)</f>
        <v>0</v>
      </c>
      <c r="E421" s="1243">
        <f t="shared" si="131"/>
        <v>0</v>
      </c>
      <c r="F421" s="1243">
        <f t="shared" si="131"/>
        <v>0</v>
      </c>
      <c r="G421" s="1243">
        <f t="shared" si="131"/>
        <v>225000</v>
      </c>
      <c r="H421" s="1243">
        <f t="shared" si="131"/>
        <v>0</v>
      </c>
      <c r="I421" s="1243">
        <f t="shared" si="131"/>
        <v>0</v>
      </c>
      <c r="J421" s="1243">
        <f t="shared" si="131"/>
        <v>225000</v>
      </c>
      <c r="K421" s="1243">
        <f t="shared" si="131"/>
        <v>225000</v>
      </c>
      <c r="L421" s="1243">
        <f t="shared" si="131"/>
        <v>225000</v>
      </c>
    </row>
    <row r="422" spans="1:12" s="145" customFormat="1" ht="34.5" customHeight="1">
      <c r="A422" s="974">
        <v>740000</v>
      </c>
      <c r="B422" s="973" t="s">
        <v>967</v>
      </c>
      <c r="C422" s="165"/>
      <c r="D422" s="165"/>
      <c r="E422" s="165"/>
      <c r="F422" s="165"/>
      <c r="G422" s="165"/>
      <c r="H422" s="165"/>
      <c r="I422" s="165"/>
      <c r="J422" s="165"/>
      <c r="K422" s="165"/>
      <c r="L422" s="956"/>
    </row>
    <row r="423" spans="1:12" s="145" customFormat="1" ht="34.5" customHeight="1">
      <c r="A423" s="97">
        <v>742100</v>
      </c>
      <c r="B423" s="849" t="s">
        <v>754</v>
      </c>
      <c r="C423" s="165"/>
      <c r="D423" s="165"/>
      <c r="E423" s="165"/>
      <c r="F423" s="165"/>
      <c r="G423" s="165"/>
      <c r="H423" s="165"/>
      <c r="I423" s="165"/>
      <c r="J423" s="165"/>
      <c r="K423" s="165"/>
      <c r="L423" s="956"/>
    </row>
    <row r="424" spans="1:12" s="159" customFormat="1" ht="34.5" customHeight="1">
      <c r="A424" s="99">
        <v>742112</v>
      </c>
      <c r="B424" s="115" t="s">
        <v>62</v>
      </c>
      <c r="C424" s="1248">
        <v>0</v>
      </c>
      <c r="D424" s="1248"/>
      <c r="E424" s="1248"/>
      <c r="F424" s="991">
        <f>C424+D424-E424</f>
        <v>0</v>
      </c>
      <c r="G424" s="1248">
        <v>0</v>
      </c>
      <c r="H424" s="1248"/>
      <c r="I424" s="1248"/>
      <c r="J424" s="991">
        <f>G424+H424-I424</f>
        <v>0</v>
      </c>
      <c r="K424" s="1248">
        <f>C424+G424</f>
        <v>0</v>
      </c>
      <c r="L424" s="991">
        <f>F424+J424</f>
        <v>0</v>
      </c>
    </row>
    <row r="425" spans="1:12" s="145" customFormat="1" ht="34.5" customHeight="1">
      <c r="A425" s="144"/>
      <c r="B425" s="119" t="s">
        <v>86</v>
      </c>
      <c r="C425" s="117">
        <f>SUM(C424)</f>
        <v>0</v>
      </c>
      <c r="D425" s="117">
        <f aca="true" t="shared" si="132" ref="D425:L425">SUM(D424)</f>
        <v>0</v>
      </c>
      <c r="E425" s="117">
        <f t="shared" si="132"/>
        <v>0</v>
      </c>
      <c r="F425" s="117">
        <f t="shared" si="132"/>
        <v>0</v>
      </c>
      <c r="G425" s="117">
        <f t="shared" si="132"/>
        <v>0</v>
      </c>
      <c r="H425" s="117">
        <f t="shared" si="132"/>
        <v>0</v>
      </c>
      <c r="I425" s="117">
        <f t="shared" si="132"/>
        <v>0</v>
      </c>
      <c r="J425" s="117">
        <f t="shared" si="132"/>
        <v>0</v>
      </c>
      <c r="K425" s="117">
        <f t="shared" si="132"/>
        <v>0</v>
      </c>
      <c r="L425" s="117">
        <f t="shared" si="132"/>
        <v>0</v>
      </c>
    </row>
    <row r="426" spans="1:12" ht="57.75" customHeight="1" thickBot="1">
      <c r="A426" s="186"/>
      <c r="B426" s="840" t="s">
        <v>1111</v>
      </c>
      <c r="C426" s="1246">
        <f>SUM(C402,C414,C421,C425)</f>
        <v>3069961.6</v>
      </c>
      <c r="D426" s="1246">
        <f aca="true" t="shared" si="133" ref="D426:L426">SUM(D402,D414,D421,D425)</f>
        <v>0</v>
      </c>
      <c r="E426" s="1246">
        <f t="shared" si="133"/>
        <v>0</v>
      </c>
      <c r="F426" s="1246">
        <f t="shared" si="133"/>
        <v>3069961.6</v>
      </c>
      <c r="G426" s="1246">
        <f t="shared" si="133"/>
        <v>225000</v>
      </c>
      <c r="H426" s="1246">
        <f t="shared" si="133"/>
        <v>0</v>
      </c>
      <c r="I426" s="1246">
        <f t="shared" si="133"/>
        <v>0</v>
      </c>
      <c r="J426" s="1246">
        <f t="shared" si="133"/>
        <v>225000</v>
      </c>
      <c r="K426" s="1246">
        <f t="shared" si="133"/>
        <v>3294961.6</v>
      </c>
      <c r="L426" s="1246">
        <f t="shared" si="133"/>
        <v>3294961.6</v>
      </c>
    </row>
    <row r="427" spans="1:12" ht="258" customHeight="1">
      <c r="A427" s="92" t="s">
        <v>323</v>
      </c>
      <c r="B427" s="93" t="s">
        <v>342</v>
      </c>
      <c r="C427" s="813" t="s">
        <v>1124</v>
      </c>
      <c r="D427" s="813" t="s">
        <v>1332</v>
      </c>
      <c r="E427" s="813" t="s">
        <v>1333</v>
      </c>
      <c r="F427" s="813" t="s">
        <v>1334</v>
      </c>
      <c r="G427" s="813" t="s">
        <v>1184</v>
      </c>
      <c r="H427" s="813" t="s">
        <v>1335</v>
      </c>
      <c r="I427" s="813" t="s">
        <v>1336</v>
      </c>
      <c r="J427" s="813" t="s">
        <v>1337</v>
      </c>
      <c r="K427" s="813" t="s">
        <v>1125</v>
      </c>
      <c r="L427" s="813" t="s">
        <v>1331</v>
      </c>
    </row>
    <row r="428" spans="1:12" ht="24" customHeight="1">
      <c r="A428" s="94">
        <v>0</v>
      </c>
      <c r="B428" s="95">
        <v>1</v>
      </c>
      <c r="C428" s="1241">
        <v>2</v>
      </c>
      <c r="D428" s="1241">
        <v>3</v>
      </c>
      <c r="E428" s="1241">
        <v>4</v>
      </c>
      <c r="F428" s="1241">
        <v>5</v>
      </c>
      <c r="G428" s="1241">
        <v>6</v>
      </c>
      <c r="H428" s="1241">
        <v>7</v>
      </c>
      <c r="I428" s="1241">
        <v>8</v>
      </c>
      <c r="J428" s="1241">
        <v>9</v>
      </c>
      <c r="K428" s="1241">
        <v>10</v>
      </c>
      <c r="L428" s="990">
        <v>11</v>
      </c>
    </row>
    <row r="429" spans="1:12" ht="48.75" customHeight="1">
      <c r="A429" s="181"/>
      <c r="B429" s="131" t="s">
        <v>1112</v>
      </c>
      <c r="C429" s="1251"/>
      <c r="D429" s="1251"/>
      <c r="E429" s="1251"/>
      <c r="F429" s="1251"/>
      <c r="G429" s="1251"/>
      <c r="H429" s="1251"/>
      <c r="I429" s="1251"/>
      <c r="J429" s="1251"/>
      <c r="K429" s="1251"/>
      <c r="L429" s="1145"/>
    </row>
    <row r="430" spans="1:12" ht="44.25" customHeight="1">
      <c r="A430" s="97">
        <v>720000</v>
      </c>
      <c r="B430" s="98" t="s">
        <v>629</v>
      </c>
      <c r="C430" s="1252"/>
      <c r="D430" s="1252"/>
      <c r="E430" s="1252"/>
      <c r="F430" s="1252"/>
      <c r="G430" s="1252"/>
      <c r="H430" s="1252"/>
      <c r="I430" s="1252"/>
      <c r="J430" s="1252"/>
      <c r="K430" s="1252"/>
      <c r="L430" s="1146"/>
    </row>
    <row r="431" spans="1:12" ht="44.25" customHeight="1">
      <c r="A431" s="97">
        <v>721100</v>
      </c>
      <c r="B431" s="1148" t="s">
        <v>376</v>
      </c>
      <c r="C431" s="1252"/>
      <c r="D431" s="1252"/>
      <c r="E431" s="1252"/>
      <c r="F431" s="1252"/>
      <c r="G431" s="1252"/>
      <c r="H431" s="1252"/>
      <c r="I431" s="1252"/>
      <c r="J431" s="1252"/>
      <c r="K431" s="1252"/>
      <c r="L431" s="1146"/>
    </row>
    <row r="432" spans="1:12" ht="44.25" customHeight="1">
      <c r="A432" s="121">
        <v>721129</v>
      </c>
      <c r="B432" s="150" t="s">
        <v>234</v>
      </c>
      <c r="C432" s="1248">
        <v>2500</v>
      </c>
      <c r="D432" s="1248"/>
      <c r="E432" s="1248"/>
      <c r="F432" s="991">
        <f>C432+D432-E432</f>
        <v>2500</v>
      </c>
      <c r="G432" s="1248">
        <v>0</v>
      </c>
      <c r="H432" s="1248"/>
      <c r="I432" s="1248"/>
      <c r="J432" s="991">
        <f>G432+H432-I432</f>
        <v>0</v>
      </c>
      <c r="K432" s="1248">
        <f>C432+G432</f>
        <v>2500</v>
      </c>
      <c r="L432" s="991">
        <f>F432+J432</f>
        <v>2500</v>
      </c>
    </row>
    <row r="433" spans="1:12" ht="44.25" customHeight="1">
      <c r="A433" s="167"/>
      <c r="B433" s="109" t="s">
        <v>378</v>
      </c>
      <c r="C433" s="1273">
        <f>SUM(C432)</f>
        <v>2500</v>
      </c>
      <c r="D433" s="1273">
        <f aca="true" t="shared" si="134" ref="D433:L433">SUM(D432)</f>
        <v>0</v>
      </c>
      <c r="E433" s="1273">
        <f t="shared" si="134"/>
        <v>0</v>
      </c>
      <c r="F433" s="1273">
        <f t="shared" si="134"/>
        <v>2500</v>
      </c>
      <c r="G433" s="1273">
        <f t="shared" si="134"/>
        <v>0</v>
      </c>
      <c r="H433" s="1273">
        <f t="shared" si="134"/>
        <v>0</v>
      </c>
      <c r="I433" s="1273">
        <f t="shared" si="134"/>
        <v>0</v>
      </c>
      <c r="J433" s="1273">
        <f t="shared" si="134"/>
        <v>0</v>
      </c>
      <c r="K433" s="1273">
        <f t="shared" si="134"/>
        <v>2500</v>
      </c>
      <c r="L433" s="1273">
        <f t="shared" si="134"/>
        <v>2500</v>
      </c>
    </row>
    <row r="434" spans="1:12" ht="23.25">
      <c r="A434" s="185">
        <v>722400</v>
      </c>
      <c r="B434" s="154" t="s">
        <v>386</v>
      </c>
      <c r="C434" s="1242"/>
      <c r="D434" s="1242"/>
      <c r="E434" s="1242"/>
      <c r="F434" s="1242"/>
      <c r="G434" s="1242"/>
      <c r="H434" s="1242"/>
      <c r="I434" s="1242"/>
      <c r="J434" s="1242"/>
      <c r="K434" s="1242"/>
      <c r="L434" s="995"/>
    </row>
    <row r="435" spans="1:12" ht="48.75" customHeight="1">
      <c r="A435" s="121">
        <v>722442</v>
      </c>
      <c r="B435" s="122" t="s">
        <v>117</v>
      </c>
      <c r="C435" s="1248">
        <v>250000</v>
      </c>
      <c r="D435" s="1248"/>
      <c r="E435" s="1248"/>
      <c r="F435" s="991">
        <f>C435+D435-E435</f>
        <v>250000</v>
      </c>
      <c r="G435" s="1248">
        <v>0</v>
      </c>
      <c r="H435" s="1248"/>
      <c r="I435" s="1248"/>
      <c r="J435" s="991">
        <f>G435+H435-I435</f>
        <v>0</v>
      </c>
      <c r="K435" s="1248">
        <f>C435+G435</f>
        <v>250000</v>
      </c>
      <c r="L435" s="991">
        <f>F435+J435</f>
        <v>250000</v>
      </c>
    </row>
    <row r="436" spans="1:12" ht="48.75" customHeight="1">
      <c r="A436" s="118"/>
      <c r="B436" s="119" t="s">
        <v>409</v>
      </c>
      <c r="C436" s="1243">
        <f>SUM(C435:C435)</f>
        <v>250000</v>
      </c>
      <c r="D436" s="1243">
        <f aca="true" t="shared" si="135" ref="D436:L436">SUM(D435:D435)</f>
        <v>0</v>
      </c>
      <c r="E436" s="1243">
        <f t="shared" si="135"/>
        <v>0</v>
      </c>
      <c r="F436" s="1243">
        <f t="shared" si="135"/>
        <v>250000</v>
      </c>
      <c r="G436" s="1243">
        <f t="shared" si="135"/>
        <v>0</v>
      </c>
      <c r="H436" s="1243">
        <f t="shared" si="135"/>
        <v>0</v>
      </c>
      <c r="I436" s="1243">
        <f t="shared" si="135"/>
        <v>0</v>
      </c>
      <c r="J436" s="1243">
        <f t="shared" si="135"/>
        <v>0</v>
      </c>
      <c r="K436" s="1243">
        <f t="shared" si="135"/>
        <v>250000</v>
      </c>
      <c r="L436" s="1243">
        <f t="shared" si="135"/>
        <v>250000</v>
      </c>
    </row>
    <row r="437" spans="1:12" ht="48.75" customHeight="1">
      <c r="A437" s="118"/>
      <c r="B437" s="109" t="s">
        <v>538</v>
      </c>
      <c r="C437" s="1243">
        <f>SUM(C436,C433,)</f>
        <v>252500</v>
      </c>
      <c r="D437" s="1243">
        <f aca="true" t="shared" si="136" ref="D437:L437">SUM(D436,D433,)</f>
        <v>0</v>
      </c>
      <c r="E437" s="1243">
        <f t="shared" si="136"/>
        <v>0</v>
      </c>
      <c r="F437" s="1243">
        <f t="shared" si="136"/>
        <v>252500</v>
      </c>
      <c r="G437" s="1243">
        <f t="shared" si="136"/>
        <v>0</v>
      </c>
      <c r="H437" s="1243">
        <f t="shared" si="136"/>
        <v>0</v>
      </c>
      <c r="I437" s="1243">
        <f t="shared" si="136"/>
        <v>0</v>
      </c>
      <c r="J437" s="1243">
        <f t="shared" si="136"/>
        <v>0</v>
      </c>
      <c r="K437" s="1243">
        <f t="shared" si="136"/>
        <v>252500</v>
      </c>
      <c r="L437" s="1243">
        <f t="shared" si="136"/>
        <v>252500</v>
      </c>
    </row>
    <row r="438" spans="1:12" s="188" customFormat="1" ht="48.75" customHeight="1" thickBot="1">
      <c r="A438" s="187"/>
      <c r="B438" s="1095" t="s">
        <v>1113</v>
      </c>
      <c r="C438" s="1274">
        <f>SUM(C437)</f>
        <v>252500</v>
      </c>
      <c r="D438" s="1274">
        <f aca="true" t="shared" si="137" ref="D438:L438">SUM(D437)</f>
        <v>0</v>
      </c>
      <c r="E438" s="1274">
        <f t="shared" si="137"/>
        <v>0</v>
      </c>
      <c r="F438" s="1274">
        <f t="shared" si="137"/>
        <v>252500</v>
      </c>
      <c r="G438" s="1274">
        <f t="shared" si="137"/>
        <v>0</v>
      </c>
      <c r="H438" s="1274">
        <f t="shared" si="137"/>
        <v>0</v>
      </c>
      <c r="I438" s="1274">
        <f t="shared" si="137"/>
        <v>0</v>
      </c>
      <c r="J438" s="1274">
        <f t="shared" si="137"/>
        <v>0</v>
      </c>
      <c r="K438" s="1274">
        <f t="shared" si="137"/>
        <v>252500</v>
      </c>
      <c r="L438" s="1274">
        <f t="shared" si="137"/>
        <v>252500</v>
      </c>
    </row>
    <row r="439" spans="1:12" ht="27" customHeight="1" thickBot="1">
      <c r="A439" s="125"/>
      <c r="B439" s="126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</row>
    <row r="440" spans="1:12" ht="255.75" customHeight="1">
      <c r="A440" s="92" t="s">
        <v>323</v>
      </c>
      <c r="B440" s="93" t="s">
        <v>342</v>
      </c>
      <c r="C440" s="813" t="s">
        <v>1124</v>
      </c>
      <c r="D440" s="813" t="s">
        <v>1332</v>
      </c>
      <c r="E440" s="813" t="s">
        <v>1333</v>
      </c>
      <c r="F440" s="813" t="s">
        <v>1334</v>
      </c>
      <c r="G440" s="813" t="s">
        <v>1184</v>
      </c>
      <c r="H440" s="813" t="s">
        <v>1335</v>
      </c>
      <c r="I440" s="813" t="s">
        <v>1336</v>
      </c>
      <c r="J440" s="813" t="s">
        <v>1337</v>
      </c>
      <c r="K440" s="813" t="s">
        <v>1125</v>
      </c>
      <c r="L440" s="813" t="s">
        <v>1331</v>
      </c>
    </row>
    <row r="441" spans="1:12" ht="26.25" customHeight="1">
      <c r="A441" s="94">
        <v>0</v>
      </c>
      <c r="B441" s="95">
        <v>1</v>
      </c>
      <c r="C441" s="1241">
        <v>2</v>
      </c>
      <c r="D441" s="1241">
        <v>3</v>
      </c>
      <c r="E441" s="1241">
        <v>4</v>
      </c>
      <c r="F441" s="1241">
        <v>5</v>
      </c>
      <c r="G441" s="1241">
        <v>6</v>
      </c>
      <c r="H441" s="1241">
        <v>7</v>
      </c>
      <c r="I441" s="1241">
        <v>8</v>
      </c>
      <c r="J441" s="1241">
        <v>9</v>
      </c>
      <c r="K441" s="1241">
        <v>10</v>
      </c>
      <c r="L441" s="990">
        <v>11</v>
      </c>
    </row>
    <row r="442" spans="1:12" ht="63" customHeight="1">
      <c r="A442" s="181"/>
      <c r="B442" s="131" t="s">
        <v>1143</v>
      </c>
      <c r="C442" s="1251"/>
      <c r="D442" s="1251"/>
      <c r="E442" s="1251"/>
      <c r="F442" s="1251"/>
      <c r="G442" s="1251"/>
      <c r="H442" s="1251"/>
      <c r="I442" s="1251"/>
      <c r="J442" s="1251"/>
      <c r="K442" s="1251"/>
      <c r="L442" s="1145"/>
    </row>
    <row r="443" spans="1:12" ht="58.5" customHeight="1">
      <c r="A443" s="97">
        <v>720000</v>
      </c>
      <c r="B443" s="98" t="s">
        <v>629</v>
      </c>
      <c r="C443" s="1252"/>
      <c r="D443" s="1252"/>
      <c r="E443" s="1252"/>
      <c r="F443" s="1252"/>
      <c r="G443" s="1252"/>
      <c r="H443" s="1252"/>
      <c r="I443" s="1252"/>
      <c r="J443" s="1252"/>
      <c r="K443" s="1252"/>
      <c r="L443" s="1146"/>
    </row>
    <row r="444" spans="1:12" ht="38.25" customHeight="1">
      <c r="A444" s="97">
        <v>722500</v>
      </c>
      <c r="B444" s="849" t="s">
        <v>751</v>
      </c>
      <c r="C444" s="1252"/>
      <c r="D444" s="1252"/>
      <c r="E444" s="1252"/>
      <c r="F444" s="1252"/>
      <c r="G444" s="1252"/>
      <c r="H444" s="1252"/>
      <c r="I444" s="1252"/>
      <c r="J444" s="1252"/>
      <c r="K444" s="1252"/>
      <c r="L444" s="1146"/>
    </row>
    <row r="445" spans="1:12" ht="54" customHeight="1">
      <c r="A445" s="1395">
        <v>722583</v>
      </c>
      <c r="B445" s="1437" t="s">
        <v>952</v>
      </c>
      <c r="C445" s="1332">
        <v>10000</v>
      </c>
      <c r="D445" s="1332">
        <v>6000</v>
      </c>
      <c r="E445" s="1332"/>
      <c r="F445" s="1333">
        <f>C445+D445-E445</f>
        <v>16000</v>
      </c>
      <c r="G445" s="1332">
        <v>0</v>
      </c>
      <c r="H445" s="1332"/>
      <c r="I445" s="1332"/>
      <c r="J445" s="1333">
        <f>G445+H445-I445</f>
        <v>0</v>
      </c>
      <c r="K445" s="1332">
        <f>C445+G445</f>
        <v>10000</v>
      </c>
      <c r="L445" s="1333">
        <f>F445+J445</f>
        <v>16000</v>
      </c>
    </row>
    <row r="446" spans="1:12" ht="53.25" customHeight="1">
      <c r="A446" s="1395">
        <v>722584</v>
      </c>
      <c r="B446" s="1396" t="s">
        <v>335</v>
      </c>
      <c r="C446" s="1332">
        <v>62515.5</v>
      </c>
      <c r="D446" s="1332">
        <v>30000</v>
      </c>
      <c r="E446" s="1332"/>
      <c r="F446" s="1333">
        <f>C446+D446-E446</f>
        <v>92515.5</v>
      </c>
      <c r="G446" s="1332">
        <v>0</v>
      </c>
      <c r="H446" s="1332"/>
      <c r="I446" s="1332"/>
      <c r="J446" s="1333">
        <f>G446+H446-I446</f>
        <v>0</v>
      </c>
      <c r="K446" s="1332">
        <f>C446+G446</f>
        <v>62515.5</v>
      </c>
      <c r="L446" s="1333">
        <f>F446+J446</f>
        <v>92515.5</v>
      </c>
    </row>
    <row r="447" spans="1:12" ht="38.25" customHeight="1">
      <c r="A447" s="167"/>
      <c r="B447" s="957" t="s">
        <v>413</v>
      </c>
      <c r="C447" s="1273">
        <f>SUM(C445:C446)</f>
        <v>72515.5</v>
      </c>
      <c r="D447" s="1273">
        <f aca="true" t="shared" si="138" ref="D447:L447">SUM(D445:D446)</f>
        <v>36000</v>
      </c>
      <c r="E447" s="1273">
        <f t="shared" si="138"/>
        <v>0</v>
      </c>
      <c r="F447" s="1273">
        <f t="shared" si="138"/>
        <v>108515.5</v>
      </c>
      <c r="G447" s="1273">
        <f t="shared" si="138"/>
        <v>0</v>
      </c>
      <c r="H447" s="1273">
        <f t="shared" si="138"/>
        <v>0</v>
      </c>
      <c r="I447" s="1273">
        <f t="shared" si="138"/>
        <v>0</v>
      </c>
      <c r="J447" s="1273">
        <f t="shared" si="138"/>
        <v>0</v>
      </c>
      <c r="K447" s="1273">
        <f t="shared" si="138"/>
        <v>72515.5</v>
      </c>
      <c r="L447" s="1273">
        <f t="shared" si="138"/>
        <v>108515.5</v>
      </c>
    </row>
    <row r="448" spans="1:12" ht="45" customHeight="1">
      <c r="A448" s="118"/>
      <c r="B448" s="109" t="s">
        <v>538</v>
      </c>
      <c r="C448" s="1243">
        <f>SUM(C447,)</f>
        <v>72515.5</v>
      </c>
      <c r="D448" s="1243">
        <f aca="true" t="shared" si="139" ref="D448:L448">SUM(D447,)</f>
        <v>36000</v>
      </c>
      <c r="E448" s="1243">
        <f t="shared" si="139"/>
        <v>0</v>
      </c>
      <c r="F448" s="1243">
        <f t="shared" si="139"/>
        <v>108515.5</v>
      </c>
      <c r="G448" s="1243">
        <f t="shared" si="139"/>
        <v>0</v>
      </c>
      <c r="H448" s="1243">
        <f t="shared" si="139"/>
        <v>0</v>
      </c>
      <c r="I448" s="1243">
        <f t="shared" si="139"/>
        <v>0</v>
      </c>
      <c r="J448" s="1243">
        <f t="shared" si="139"/>
        <v>0</v>
      </c>
      <c r="K448" s="1243">
        <f t="shared" si="139"/>
        <v>72515.5</v>
      </c>
      <c r="L448" s="1243">
        <f t="shared" si="139"/>
        <v>108515.5</v>
      </c>
    </row>
    <row r="449" spans="1:12" ht="51" customHeight="1" thickBot="1">
      <c r="A449" s="187"/>
      <c r="B449" s="1095" t="s">
        <v>1144</v>
      </c>
      <c r="C449" s="1274">
        <f>SUM(C448)</f>
        <v>72515.5</v>
      </c>
      <c r="D449" s="1274">
        <f aca="true" t="shared" si="140" ref="D449:L449">SUM(D448)</f>
        <v>36000</v>
      </c>
      <c r="E449" s="1274">
        <f t="shared" si="140"/>
        <v>0</v>
      </c>
      <c r="F449" s="1274">
        <f t="shared" si="140"/>
        <v>108515.5</v>
      </c>
      <c r="G449" s="1274">
        <f t="shared" si="140"/>
        <v>0</v>
      </c>
      <c r="H449" s="1274">
        <f t="shared" si="140"/>
        <v>0</v>
      </c>
      <c r="I449" s="1274">
        <f t="shared" si="140"/>
        <v>0</v>
      </c>
      <c r="J449" s="1274">
        <f t="shared" si="140"/>
        <v>0</v>
      </c>
      <c r="K449" s="1274">
        <f t="shared" si="140"/>
        <v>72515.5</v>
      </c>
      <c r="L449" s="1274">
        <f t="shared" si="140"/>
        <v>108515.5</v>
      </c>
    </row>
    <row r="450" spans="1:12" ht="254.25" customHeight="1" thickBot="1">
      <c r="A450" s="189" t="s">
        <v>323</v>
      </c>
      <c r="B450" s="190" t="s">
        <v>342</v>
      </c>
      <c r="C450" s="813" t="s">
        <v>1124</v>
      </c>
      <c r="D450" s="813" t="s">
        <v>1332</v>
      </c>
      <c r="E450" s="813" t="s">
        <v>1333</v>
      </c>
      <c r="F450" s="813" t="s">
        <v>1334</v>
      </c>
      <c r="G450" s="813" t="s">
        <v>1184</v>
      </c>
      <c r="H450" s="813" t="s">
        <v>1335</v>
      </c>
      <c r="I450" s="813" t="s">
        <v>1336</v>
      </c>
      <c r="J450" s="813" t="s">
        <v>1337</v>
      </c>
      <c r="K450" s="813" t="s">
        <v>1125</v>
      </c>
      <c r="L450" s="813" t="s">
        <v>1331</v>
      </c>
    </row>
    <row r="451" spans="1:12" ht="20.25">
      <c r="A451" s="191">
        <v>0</v>
      </c>
      <c r="B451" s="192">
        <v>1</v>
      </c>
      <c r="C451" s="1241">
        <v>2</v>
      </c>
      <c r="D451" s="1241">
        <v>3</v>
      </c>
      <c r="E451" s="1241">
        <v>4</v>
      </c>
      <c r="F451" s="1241">
        <v>5</v>
      </c>
      <c r="G451" s="1241">
        <v>6</v>
      </c>
      <c r="H451" s="1241">
        <v>7</v>
      </c>
      <c r="I451" s="1241">
        <v>8</v>
      </c>
      <c r="J451" s="1241">
        <v>9</v>
      </c>
      <c r="K451" s="1241">
        <v>10</v>
      </c>
      <c r="L451" s="990">
        <v>11</v>
      </c>
    </row>
    <row r="452" spans="1:12" ht="79.5" customHeight="1">
      <c r="A452" s="110"/>
      <c r="B452" s="1117" t="s">
        <v>1145</v>
      </c>
      <c r="C452" s="1264"/>
      <c r="D452" s="1264"/>
      <c r="E452" s="1264"/>
      <c r="F452" s="1264"/>
      <c r="G452" s="1264"/>
      <c r="H452" s="1264"/>
      <c r="I452" s="1264"/>
      <c r="J452" s="1264"/>
      <c r="K452" s="1264"/>
      <c r="L452" s="997"/>
    </row>
    <row r="453" spans="1:12" ht="60" customHeight="1">
      <c r="A453" s="97">
        <v>720000</v>
      </c>
      <c r="B453" s="1148" t="s">
        <v>629</v>
      </c>
      <c r="C453" s="165"/>
      <c r="D453" s="165"/>
      <c r="E453" s="165"/>
      <c r="F453" s="165"/>
      <c r="G453" s="165"/>
      <c r="H453" s="165"/>
      <c r="I453" s="165"/>
      <c r="J453" s="165"/>
      <c r="K453" s="165"/>
      <c r="L453" s="862"/>
    </row>
    <row r="454" spans="1:12" ht="49.5" customHeight="1">
      <c r="A454" s="97">
        <v>722400</v>
      </c>
      <c r="B454" s="1148" t="s">
        <v>688</v>
      </c>
      <c r="C454" s="165"/>
      <c r="D454" s="165"/>
      <c r="E454" s="165"/>
      <c r="F454" s="165"/>
      <c r="G454" s="165"/>
      <c r="H454" s="165"/>
      <c r="I454" s="165"/>
      <c r="J454" s="165"/>
      <c r="K454" s="165"/>
      <c r="L454" s="862"/>
    </row>
    <row r="455" spans="1:12" ht="36.75" customHeight="1">
      <c r="A455" s="121">
        <v>722444</v>
      </c>
      <c r="B455" s="122" t="s">
        <v>689</v>
      </c>
      <c r="C455" s="1248">
        <v>5000000</v>
      </c>
      <c r="D455" s="1248"/>
      <c r="E455" s="1248"/>
      <c r="F455" s="991">
        <f>C455+D455-E455</f>
        <v>5000000</v>
      </c>
      <c r="G455" s="1248">
        <v>0</v>
      </c>
      <c r="H455" s="1248"/>
      <c r="I455" s="1248"/>
      <c r="J455" s="991">
        <f>G455+H455-I455</f>
        <v>0</v>
      </c>
      <c r="K455" s="1248">
        <f>C455+G455</f>
        <v>5000000</v>
      </c>
      <c r="L455" s="991">
        <f>F455+J455</f>
        <v>5000000</v>
      </c>
    </row>
    <row r="456" spans="1:12" ht="48" customHeight="1">
      <c r="A456" s="99"/>
      <c r="B456" s="119" t="s">
        <v>409</v>
      </c>
      <c r="C456" s="1275">
        <f>SUM(C455)</f>
        <v>5000000</v>
      </c>
      <c r="D456" s="1275">
        <f aca="true" t="shared" si="141" ref="D456:L456">SUM(D455)</f>
        <v>0</v>
      </c>
      <c r="E456" s="1275">
        <f t="shared" si="141"/>
        <v>0</v>
      </c>
      <c r="F456" s="1275">
        <f t="shared" si="141"/>
        <v>5000000</v>
      </c>
      <c r="G456" s="1275">
        <f t="shared" si="141"/>
        <v>0</v>
      </c>
      <c r="H456" s="1275">
        <f t="shared" si="141"/>
        <v>0</v>
      </c>
      <c r="I456" s="1275">
        <f t="shared" si="141"/>
        <v>0</v>
      </c>
      <c r="J456" s="1275">
        <f t="shared" si="141"/>
        <v>0</v>
      </c>
      <c r="K456" s="1275">
        <f t="shared" si="141"/>
        <v>5000000</v>
      </c>
      <c r="L456" s="1275">
        <f t="shared" si="141"/>
        <v>5000000</v>
      </c>
    </row>
    <row r="457" spans="1:12" ht="48" customHeight="1">
      <c r="A457" s="105"/>
      <c r="B457" s="848" t="s">
        <v>538</v>
      </c>
      <c r="C457" s="1275">
        <f>SUM(C456)</f>
        <v>5000000</v>
      </c>
      <c r="D457" s="1275">
        <f aca="true" t="shared" si="142" ref="D457:L457">SUM(D456)</f>
        <v>0</v>
      </c>
      <c r="E457" s="1275">
        <f t="shared" si="142"/>
        <v>0</v>
      </c>
      <c r="F457" s="1275">
        <f t="shared" si="142"/>
        <v>5000000</v>
      </c>
      <c r="G457" s="1275">
        <f t="shared" si="142"/>
        <v>0</v>
      </c>
      <c r="H457" s="1275">
        <f t="shared" si="142"/>
        <v>0</v>
      </c>
      <c r="I457" s="1275">
        <f t="shared" si="142"/>
        <v>0</v>
      </c>
      <c r="J457" s="1275">
        <f t="shared" si="142"/>
        <v>0</v>
      </c>
      <c r="K457" s="1275">
        <f t="shared" si="142"/>
        <v>5000000</v>
      </c>
      <c r="L457" s="1275">
        <f t="shared" si="142"/>
        <v>5000000</v>
      </c>
    </row>
    <row r="458" spans="1:12" s="145" customFormat="1" ht="34.5" customHeight="1">
      <c r="A458" s="974">
        <v>740000</v>
      </c>
      <c r="B458" s="973" t="s">
        <v>1204</v>
      </c>
      <c r="C458" s="165"/>
      <c r="D458" s="165"/>
      <c r="E458" s="165"/>
      <c r="F458" s="165"/>
      <c r="G458" s="165"/>
      <c r="H458" s="165"/>
      <c r="I458" s="165"/>
      <c r="J458" s="165"/>
      <c r="K458" s="165"/>
      <c r="L458" s="956"/>
    </row>
    <row r="459" spans="1:12" s="145" customFormat="1" ht="34.5" customHeight="1">
      <c r="A459" s="97">
        <v>742100</v>
      </c>
      <c r="B459" s="849" t="s">
        <v>754</v>
      </c>
      <c r="C459" s="165"/>
      <c r="D459" s="165"/>
      <c r="E459" s="165"/>
      <c r="F459" s="165"/>
      <c r="G459" s="165"/>
      <c r="H459" s="165"/>
      <c r="I459" s="165"/>
      <c r="J459" s="165"/>
      <c r="K459" s="165"/>
      <c r="L459" s="956"/>
    </row>
    <row r="460" spans="1:12" s="159" customFormat="1" ht="34.5" customHeight="1">
      <c r="A460" s="99">
        <v>742114</v>
      </c>
      <c r="B460" s="866" t="s">
        <v>711</v>
      </c>
      <c r="C460" s="1248">
        <v>0</v>
      </c>
      <c r="D460" s="1248"/>
      <c r="E460" s="1248"/>
      <c r="F460" s="991">
        <f>C460+D460-E460</f>
        <v>0</v>
      </c>
      <c r="G460" s="1248">
        <v>71463.17</v>
      </c>
      <c r="H460" s="1248"/>
      <c r="I460" s="1248"/>
      <c r="J460" s="991">
        <f>G460+H460-I460</f>
        <v>71463.17</v>
      </c>
      <c r="K460" s="1248">
        <f>C460+G460</f>
        <v>71463.17</v>
      </c>
      <c r="L460" s="991">
        <f>F460+J460</f>
        <v>71463.17</v>
      </c>
    </row>
    <row r="461" spans="1:12" s="159" customFormat="1" ht="34.5" customHeight="1">
      <c r="A461" s="105"/>
      <c r="B461" s="850" t="s">
        <v>210</v>
      </c>
      <c r="C461" s="1272">
        <f>SUM(C460)</f>
        <v>0</v>
      </c>
      <c r="D461" s="1272">
        <f aca="true" t="shared" si="143" ref="D461:L461">SUM(D460)</f>
        <v>0</v>
      </c>
      <c r="E461" s="1272">
        <f t="shared" si="143"/>
        <v>0</v>
      </c>
      <c r="F461" s="1272">
        <f t="shared" si="143"/>
        <v>0</v>
      </c>
      <c r="G461" s="1272">
        <f t="shared" si="143"/>
        <v>71463.17</v>
      </c>
      <c r="H461" s="1272">
        <f t="shared" si="143"/>
        <v>0</v>
      </c>
      <c r="I461" s="1272">
        <f t="shared" si="143"/>
        <v>0</v>
      </c>
      <c r="J461" s="1272">
        <f t="shared" si="143"/>
        <v>71463.17</v>
      </c>
      <c r="K461" s="1272">
        <f t="shared" si="143"/>
        <v>71463.17</v>
      </c>
      <c r="L461" s="1272">
        <f t="shared" si="143"/>
        <v>71463.17</v>
      </c>
    </row>
    <row r="462" spans="1:12" s="159" customFormat="1" ht="34.5" customHeight="1">
      <c r="A462" s="105"/>
      <c r="B462" s="848" t="s">
        <v>942</v>
      </c>
      <c r="C462" s="1272">
        <f>SUM(C461)</f>
        <v>0</v>
      </c>
      <c r="D462" s="1272">
        <f aca="true" t="shared" si="144" ref="D462:L462">SUM(D461)</f>
        <v>0</v>
      </c>
      <c r="E462" s="1272">
        <f t="shared" si="144"/>
        <v>0</v>
      </c>
      <c r="F462" s="1272">
        <f t="shared" si="144"/>
        <v>0</v>
      </c>
      <c r="G462" s="1272">
        <f t="shared" si="144"/>
        <v>71463.17</v>
      </c>
      <c r="H462" s="1272">
        <f t="shared" si="144"/>
        <v>0</v>
      </c>
      <c r="I462" s="1272">
        <f t="shared" si="144"/>
        <v>0</v>
      </c>
      <c r="J462" s="1272">
        <f t="shared" si="144"/>
        <v>71463.17</v>
      </c>
      <c r="K462" s="1272">
        <f t="shared" si="144"/>
        <v>71463.17</v>
      </c>
      <c r="L462" s="1272">
        <f t="shared" si="144"/>
        <v>71463.17</v>
      </c>
    </row>
    <row r="463" spans="1:12" ht="48" customHeight="1">
      <c r="A463" s="105"/>
      <c r="B463" s="848" t="s">
        <v>1146</v>
      </c>
      <c r="C463" s="1256">
        <f>SUM(C457,C462,)</f>
        <v>5000000</v>
      </c>
      <c r="D463" s="1256">
        <f aca="true" t="shared" si="145" ref="D463:L463">SUM(D457,D462,)</f>
        <v>0</v>
      </c>
      <c r="E463" s="1256">
        <f t="shared" si="145"/>
        <v>0</v>
      </c>
      <c r="F463" s="1256">
        <f t="shared" si="145"/>
        <v>5000000</v>
      </c>
      <c r="G463" s="1256">
        <f t="shared" si="145"/>
        <v>71463.17</v>
      </c>
      <c r="H463" s="1256">
        <f t="shared" si="145"/>
        <v>0</v>
      </c>
      <c r="I463" s="1256">
        <f t="shared" si="145"/>
        <v>0</v>
      </c>
      <c r="J463" s="1256">
        <f t="shared" si="145"/>
        <v>71463.17</v>
      </c>
      <c r="K463" s="1256">
        <f t="shared" si="145"/>
        <v>5071463.17</v>
      </c>
      <c r="L463" s="1256">
        <f t="shared" si="145"/>
        <v>5071463.17</v>
      </c>
    </row>
    <row r="464" spans="1:12" ht="60" customHeight="1">
      <c r="A464" s="1476"/>
      <c r="B464" s="1477" t="s">
        <v>830</v>
      </c>
      <c r="C464" s="1404">
        <v>3942809.61</v>
      </c>
      <c r="D464" s="1404">
        <v>1163147.9</v>
      </c>
      <c r="E464" s="1404">
        <v>0</v>
      </c>
      <c r="F464" s="1404">
        <f>C464+D464-E464</f>
        <v>5105957.51</v>
      </c>
      <c r="G464" s="1404">
        <v>0</v>
      </c>
      <c r="H464" s="1404">
        <v>0</v>
      </c>
      <c r="I464" s="1404">
        <v>0</v>
      </c>
      <c r="J464" s="1404">
        <v>0</v>
      </c>
      <c r="K464" s="1478">
        <f>C464+G464</f>
        <v>3942809.61</v>
      </c>
      <c r="L464" s="1479">
        <f>F464+J464</f>
        <v>5105957.51</v>
      </c>
    </row>
    <row r="465" spans="1:12" ht="71.25" customHeight="1" thickBot="1">
      <c r="A465" s="193"/>
      <c r="B465" s="840" t="s">
        <v>1147</v>
      </c>
      <c r="C465" s="1261">
        <f>SUM(C463:C464)</f>
        <v>8942809.61</v>
      </c>
      <c r="D465" s="1261">
        <f aca="true" t="shared" si="146" ref="D465:L465">SUM(D463:D464)</f>
        <v>1163147.9</v>
      </c>
      <c r="E465" s="1261">
        <f t="shared" si="146"/>
        <v>0</v>
      </c>
      <c r="F465" s="1261">
        <f t="shared" si="146"/>
        <v>10105957.51</v>
      </c>
      <c r="G465" s="1261">
        <f t="shared" si="146"/>
        <v>71463.17</v>
      </c>
      <c r="H465" s="1261">
        <f t="shared" si="146"/>
        <v>0</v>
      </c>
      <c r="I465" s="1261">
        <f t="shared" si="146"/>
        <v>0</v>
      </c>
      <c r="J465" s="1261">
        <f t="shared" si="146"/>
        <v>71463.17</v>
      </c>
      <c r="K465" s="1261">
        <f t="shared" si="146"/>
        <v>9014272.78</v>
      </c>
      <c r="L465" s="1261">
        <f t="shared" si="146"/>
        <v>10177420.68</v>
      </c>
    </row>
    <row r="466" spans="1:12" ht="256.5" customHeight="1">
      <c r="A466" s="92" t="s">
        <v>323</v>
      </c>
      <c r="B466" s="93" t="s">
        <v>342</v>
      </c>
      <c r="C466" s="813" t="s">
        <v>1124</v>
      </c>
      <c r="D466" s="813" t="s">
        <v>1332</v>
      </c>
      <c r="E466" s="813" t="s">
        <v>1333</v>
      </c>
      <c r="F466" s="813" t="s">
        <v>1334</v>
      </c>
      <c r="G466" s="813" t="s">
        <v>1184</v>
      </c>
      <c r="H466" s="813" t="s">
        <v>1335</v>
      </c>
      <c r="I466" s="813" t="s">
        <v>1336</v>
      </c>
      <c r="J466" s="813" t="s">
        <v>1337</v>
      </c>
      <c r="K466" s="813" t="s">
        <v>1125</v>
      </c>
      <c r="L466" s="813" t="s">
        <v>1331</v>
      </c>
    </row>
    <row r="467" spans="1:12" ht="23.25" customHeight="1">
      <c r="A467" s="191">
        <v>0</v>
      </c>
      <c r="B467" s="192">
        <v>1</v>
      </c>
      <c r="C467" s="1241">
        <v>2</v>
      </c>
      <c r="D467" s="1241">
        <v>3</v>
      </c>
      <c r="E467" s="1241">
        <v>4</v>
      </c>
      <c r="F467" s="1241">
        <v>5</v>
      </c>
      <c r="G467" s="1241">
        <v>6</v>
      </c>
      <c r="H467" s="1241">
        <v>7</v>
      </c>
      <c r="I467" s="1241">
        <v>8</v>
      </c>
      <c r="J467" s="1241">
        <v>9</v>
      </c>
      <c r="K467" s="1241">
        <v>10</v>
      </c>
      <c r="L467" s="990">
        <v>11</v>
      </c>
    </row>
    <row r="468" spans="1:12" ht="79.5" customHeight="1">
      <c r="A468" s="110"/>
      <c r="B468" s="1117" t="s">
        <v>1148</v>
      </c>
      <c r="C468" s="1264"/>
      <c r="D468" s="1264"/>
      <c r="E468" s="1264"/>
      <c r="F468" s="1264"/>
      <c r="G468" s="1264"/>
      <c r="H468" s="1264"/>
      <c r="I468" s="1264"/>
      <c r="J468" s="1264"/>
      <c r="K468" s="1264"/>
      <c r="L468" s="997"/>
    </row>
    <row r="469" spans="1:12" ht="69" customHeight="1">
      <c r="A469" s="97">
        <v>720000</v>
      </c>
      <c r="B469" s="1148" t="s">
        <v>629</v>
      </c>
      <c r="C469" s="165"/>
      <c r="D469" s="165"/>
      <c r="E469" s="165"/>
      <c r="F469" s="165"/>
      <c r="G469" s="165"/>
      <c r="H469" s="165"/>
      <c r="I469" s="165"/>
      <c r="J469" s="165"/>
      <c r="K469" s="165"/>
      <c r="L469" s="862"/>
    </row>
    <row r="470" spans="1:12" ht="61.5" customHeight="1">
      <c r="A470" s="97">
        <v>721100</v>
      </c>
      <c r="B470" s="154" t="s">
        <v>376</v>
      </c>
      <c r="C470" s="165"/>
      <c r="D470" s="165"/>
      <c r="E470" s="165"/>
      <c r="F470" s="165"/>
      <c r="G470" s="165"/>
      <c r="H470" s="165"/>
      <c r="I470" s="165"/>
      <c r="J470" s="165"/>
      <c r="K470" s="165"/>
      <c r="L470" s="862"/>
    </row>
    <row r="471" spans="1:12" ht="79.5" customHeight="1">
      <c r="A471" s="146">
        <v>721129</v>
      </c>
      <c r="B471" s="147" t="s">
        <v>75</v>
      </c>
      <c r="C471" s="1249">
        <v>16000</v>
      </c>
      <c r="D471" s="1249"/>
      <c r="E471" s="1249"/>
      <c r="F471" s="1086">
        <f>C471+D471-E471</f>
        <v>16000</v>
      </c>
      <c r="G471" s="1249">
        <v>0</v>
      </c>
      <c r="H471" s="1249"/>
      <c r="I471" s="1249"/>
      <c r="J471" s="1086">
        <f>G471+H471-I471</f>
        <v>0</v>
      </c>
      <c r="K471" s="1249">
        <f>C471+G471</f>
        <v>16000</v>
      </c>
      <c r="L471" s="1086">
        <f>F471+J471</f>
        <v>16000</v>
      </c>
    </row>
    <row r="472" spans="1:12" ht="38.25" customHeight="1">
      <c r="A472" s="118"/>
      <c r="B472" s="119" t="s">
        <v>378</v>
      </c>
      <c r="C472" s="1243">
        <f aca="true" t="shared" si="147" ref="C472:L473">SUM(C471)</f>
        <v>16000</v>
      </c>
      <c r="D472" s="1243">
        <f t="shared" si="147"/>
        <v>0</v>
      </c>
      <c r="E472" s="1243">
        <f t="shared" si="147"/>
        <v>0</v>
      </c>
      <c r="F472" s="1243">
        <f t="shared" si="147"/>
        <v>16000</v>
      </c>
      <c r="G472" s="1243">
        <f t="shared" si="147"/>
        <v>0</v>
      </c>
      <c r="H472" s="1243">
        <f t="shared" si="147"/>
        <v>0</v>
      </c>
      <c r="I472" s="1243">
        <f t="shared" si="147"/>
        <v>0</v>
      </c>
      <c r="J472" s="1243">
        <f t="shared" si="147"/>
        <v>0</v>
      </c>
      <c r="K472" s="1243">
        <f t="shared" si="147"/>
        <v>16000</v>
      </c>
      <c r="L472" s="1243">
        <f t="shared" si="147"/>
        <v>16000</v>
      </c>
    </row>
    <row r="473" spans="1:12" ht="56.25" customHeight="1">
      <c r="A473" s="118"/>
      <c r="B473" s="850" t="s">
        <v>1149</v>
      </c>
      <c r="C473" s="1243">
        <f t="shared" si="147"/>
        <v>16000</v>
      </c>
      <c r="D473" s="1243">
        <f t="shared" si="147"/>
        <v>0</v>
      </c>
      <c r="E473" s="1243">
        <f t="shared" si="147"/>
        <v>0</v>
      </c>
      <c r="F473" s="1243">
        <f t="shared" si="147"/>
        <v>16000</v>
      </c>
      <c r="G473" s="1243">
        <f t="shared" si="147"/>
        <v>0</v>
      </c>
      <c r="H473" s="1243">
        <f t="shared" si="147"/>
        <v>0</v>
      </c>
      <c r="I473" s="1243">
        <f t="shared" si="147"/>
        <v>0</v>
      </c>
      <c r="J473" s="1243">
        <f t="shared" si="147"/>
        <v>0</v>
      </c>
      <c r="K473" s="1243">
        <f t="shared" si="147"/>
        <v>16000</v>
      </c>
      <c r="L473" s="1243">
        <f t="shared" si="147"/>
        <v>16000</v>
      </c>
    </row>
    <row r="474" spans="1:12" ht="51.75" customHeight="1">
      <c r="A474" s="1480"/>
      <c r="B474" s="1477" t="s">
        <v>1150</v>
      </c>
      <c r="C474" s="1478">
        <v>0</v>
      </c>
      <c r="D474" s="1478">
        <v>34043.37</v>
      </c>
      <c r="E474" s="1478">
        <v>0</v>
      </c>
      <c r="F474" s="1478">
        <f>C474+D474-E474</f>
        <v>34043.37</v>
      </c>
      <c r="G474" s="1478">
        <v>0</v>
      </c>
      <c r="H474" s="1478">
        <v>0</v>
      </c>
      <c r="I474" s="1478">
        <v>0</v>
      </c>
      <c r="J474" s="1478">
        <v>0</v>
      </c>
      <c r="K474" s="1478">
        <f>C474+G474</f>
        <v>0</v>
      </c>
      <c r="L474" s="1479">
        <f>F474+J474</f>
        <v>34043.37</v>
      </c>
    </row>
    <row r="475" spans="1:12" ht="54.75" customHeight="1">
      <c r="A475" s="118"/>
      <c r="B475" s="850" t="s">
        <v>1151</v>
      </c>
      <c r="C475" s="1243">
        <f aca="true" t="shared" si="148" ref="C475:J475">SUM(C473+C474)</f>
        <v>16000</v>
      </c>
      <c r="D475" s="1243">
        <f t="shared" si="148"/>
        <v>34043.37</v>
      </c>
      <c r="E475" s="1243">
        <f t="shared" si="148"/>
        <v>0</v>
      </c>
      <c r="F475" s="1243">
        <f t="shared" si="148"/>
        <v>50043.37</v>
      </c>
      <c r="G475" s="1243">
        <f t="shared" si="148"/>
        <v>0</v>
      </c>
      <c r="H475" s="1243">
        <f t="shared" si="148"/>
        <v>0</v>
      </c>
      <c r="I475" s="1243">
        <f t="shared" si="148"/>
        <v>0</v>
      </c>
      <c r="J475" s="1243">
        <f t="shared" si="148"/>
        <v>0</v>
      </c>
      <c r="K475" s="1272">
        <f>C475+G475</f>
        <v>16000</v>
      </c>
      <c r="L475" s="1296">
        <f>F475+J475</f>
        <v>50043.37</v>
      </c>
    </row>
    <row r="476" spans="1:12" ht="69.75" customHeight="1">
      <c r="A476" s="97"/>
      <c r="B476" s="849" t="s">
        <v>1152</v>
      </c>
      <c r="C476" s="1243">
        <f>SUM(C463,C438,C426,C378,C304,C252,C217,C473,C338,C288,C449,C229)</f>
        <v>51671790.1</v>
      </c>
      <c r="D476" s="1243">
        <f aca="true" t="shared" si="149" ref="D476:L476">SUM(D463,D438,D426,D378,D304,D252,D217,D473,D338,D288,D449,D229)</f>
        <v>2758627.92</v>
      </c>
      <c r="E476" s="1243">
        <f t="shared" si="149"/>
        <v>7103405.75</v>
      </c>
      <c r="F476" s="1243">
        <f t="shared" si="149"/>
        <v>47327012.269999996</v>
      </c>
      <c r="G476" s="1243">
        <f t="shared" si="149"/>
        <v>8431184.23</v>
      </c>
      <c r="H476" s="1243">
        <f t="shared" si="149"/>
        <v>58659.2</v>
      </c>
      <c r="I476" s="1243">
        <f t="shared" si="149"/>
        <v>1155450</v>
      </c>
      <c r="J476" s="1243">
        <f t="shared" si="149"/>
        <v>7334393.43</v>
      </c>
      <c r="K476" s="1243">
        <f t="shared" si="149"/>
        <v>60102974.330000006</v>
      </c>
      <c r="L476" s="1243">
        <f t="shared" si="149"/>
        <v>54661405.7</v>
      </c>
    </row>
    <row r="477" spans="1:12" ht="41.25" customHeight="1">
      <c r="A477" s="1516" t="s">
        <v>844</v>
      </c>
      <c r="B477" s="1517"/>
      <c r="C477" s="1276">
        <f aca="true" t="shared" si="150" ref="C477:L477">SUM(C383,)</f>
        <v>2550000</v>
      </c>
      <c r="D477" s="1276">
        <f t="shared" si="150"/>
        <v>600000</v>
      </c>
      <c r="E477" s="1276">
        <f t="shared" si="150"/>
        <v>0</v>
      </c>
      <c r="F477" s="1276">
        <f t="shared" si="150"/>
        <v>3150000</v>
      </c>
      <c r="G477" s="1276">
        <f t="shared" si="150"/>
        <v>0</v>
      </c>
      <c r="H477" s="1276">
        <f t="shared" si="150"/>
        <v>0</v>
      </c>
      <c r="I477" s="1276">
        <f t="shared" si="150"/>
        <v>0</v>
      </c>
      <c r="J477" s="1276">
        <f t="shared" si="150"/>
        <v>0</v>
      </c>
      <c r="K477" s="1276">
        <f t="shared" si="150"/>
        <v>2550000</v>
      </c>
      <c r="L477" s="1276">
        <f t="shared" si="150"/>
        <v>3150000</v>
      </c>
    </row>
    <row r="478" spans="1:12" ht="41.25" customHeight="1">
      <c r="A478" s="1514" t="s">
        <v>1091</v>
      </c>
      <c r="B478" s="1515"/>
      <c r="C478" s="1276">
        <f aca="true" t="shared" si="151" ref="C478:L478">SUM(C386)</f>
        <v>7000000</v>
      </c>
      <c r="D478" s="1276">
        <f t="shared" si="151"/>
        <v>0</v>
      </c>
      <c r="E478" s="1276">
        <f t="shared" si="151"/>
        <v>0</v>
      </c>
      <c r="F478" s="1276">
        <f t="shared" si="151"/>
        <v>7000000</v>
      </c>
      <c r="G478" s="1276">
        <f t="shared" si="151"/>
        <v>0</v>
      </c>
      <c r="H478" s="1276">
        <f t="shared" si="151"/>
        <v>0</v>
      </c>
      <c r="I478" s="1276">
        <f t="shared" si="151"/>
        <v>0</v>
      </c>
      <c r="J478" s="1276">
        <f t="shared" si="151"/>
        <v>0</v>
      </c>
      <c r="K478" s="1276">
        <f t="shared" si="151"/>
        <v>7000000</v>
      </c>
      <c r="L478" s="1276">
        <f t="shared" si="151"/>
        <v>7000000</v>
      </c>
    </row>
    <row r="479" spans="1:12" ht="39" customHeight="1">
      <c r="A479" s="1524" t="s">
        <v>831</v>
      </c>
      <c r="B479" s="1525"/>
      <c r="C479" s="1243">
        <f aca="true" t="shared" si="152" ref="C479:L479">SUM(C476+C477,C478,)</f>
        <v>61221790.1</v>
      </c>
      <c r="D479" s="1243">
        <f t="shared" si="152"/>
        <v>3358627.92</v>
      </c>
      <c r="E479" s="1243">
        <f t="shared" si="152"/>
        <v>7103405.75</v>
      </c>
      <c r="F479" s="1243">
        <f t="shared" si="152"/>
        <v>57477012.269999996</v>
      </c>
      <c r="G479" s="1243">
        <f t="shared" si="152"/>
        <v>8431184.23</v>
      </c>
      <c r="H479" s="1243">
        <f t="shared" si="152"/>
        <v>58659.2</v>
      </c>
      <c r="I479" s="1243">
        <f t="shared" si="152"/>
        <v>1155450</v>
      </c>
      <c r="J479" s="1243">
        <f t="shared" si="152"/>
        <v>7334393.43</v>
      </c>
      <c r="K479" s="1243">
        <f t="shared" si="152"/>
        <v>69652974.33000001</v>
      </c>
      <c r="L479" s="1243">
        <f t="shared" si="152"/>
        <v>64811405.7</v>
      </c>
    </row>
    <row r="480" spans="1:12" ht="44.25" customHeight="1">
      <c r="A480" s="1524" t="s">
        <v>832</v>
      </c>
      <c r="B480" s="1525"/>
      <c r="C480" s="1243">
        <f>SUM(PRIHODI!C218+PRIHODI!C389+PRIHODI!C464+PRIHODI!C474)</f>
        <v>6635689.16</v>
      </c>
      <c r="D480" s="1243">
        <f>SUM(PRIHODI!D218+PRIHODI!D389+PRIHODI!D464+PRIHODI!D474)</f>
        <v>4187197.02</v>
      </c>
      <c r="E480" s="1243">
        <f>SUM(PRIHODI!E218+PRIHODI!E389+PRIHODI!E464+PRIHODI!E474)</f>
        <v>299627.92</v>
      </c>
      <c r="F480" s="1243">
        <f>SUM(PRIHODI!F218+PRIHODI!F389+PRIHODI!F464+PRIHODI!F474)</f>
        <v>10523258.26</v>
      </c>
      <c r="G480" s="1243">
        <f>SUM(PRIHODI!G218+PRIHODI!G389+PRIHODI!G464+PRIHODI!G474)</f>
        <v>0</v>
      </c>
      <c r="H480" s="1243">
        <f>SUM(PRIHODI!H218+PRIHODI!H389+PRIHODI!H464+PRIHODI!H474)</f>
        <v>0</v>
      </c>
      <c r="I480" s="1243">
        <f>SUM(PRIHODI!I218+PRIHODI!I389+PRIHODI!I464+PRIHODI!I474)</f>
        <v>0</v>
      </c>
      <c r="J480" s="1243">
        <f>SUM(PRIHODI!J218+PRIHODI!J389+PRIHODI!J464+PRIHODI!J474)</f>
        <v>0</v>
      </c>
      <c r="K480" s="1243">
        <f>SUM(PRIHODI!K218+PRIHODI!K389+PRIHODI!K464+PRIHODI!K474)</f>
        <v>6635689.16</v>
      </c>
      <c r="L480" s="1243">
        <f>SUM(PRIHODI!L218+PRIHODI!L389+PRIHODI!L464+PRIHODI!L474)</f>
        <v>10523258.26</v>
      </c>
    </row>
    <row r="481" spans="1:12" ht="44.25" customHeight="1">
      <c r="A481" s="1516" t="s">
        <v>913</v>
      </c>
      <c r="B481" s="1517"/>
      <c r="C481" s="1243">
        <f aca="true" t="shared" si="153" ref="C481:L481">SUM(C390)</f>
        <v>500000</v>
      </c>
      <c r="D481" s="1243">
        <f t="shared" si="153"/>
        <v>0</v>
      </c>
      <c r="E481" s="1243">
        <f t="shared" si="153"/>
        <v>0</v>
      </c>
      <c r="F481" s="1243">
        <f t="shared" si="153"/>
        <v>500000</v>
      </c>
      <c r="G481" s="1243">
        <f t="shared" si="153"/>
        <v>0</v>
      </c>
      <c r="H481" s="1243">
        <f t="shared" si="153"/>
        <v>0</v>
      </c>
      <c r="I481" s="1243">
        <f t="shared" si="153"/>
        <v>0</v>
      </c>
      <c r="J481" s="1243">
        <f t="shared" si="153"/>
        <v>0</v>
      </c>
      <c r="K481" s="1243">
        <f t="shared" si="153"/>
        <v>500000</v>
      </c>
      <c r="L481" s="1243">
        <f t="shared" si="153"/>
        <v>500000</v>
      </c>
    </row>
    <row r="482" spans="1:12" ht="55.5" customHeight="1" thickBot="1">
      <c r="A482" s="1528" t="s">
        <v>833</v>
      </c>
      <c r="B482" s="1529"/>
      <c r="C482" s="1246">
        <f aca="true" t="shared" si="154" ref="C482:L482">SUM(C479+C480+C481)</f>
        <v>68357479.26</v>
      </c>
      <c r="D482" s="1246">
        <f t="shared" si="154"/>
        <v>7545824.9399999995</v>
      </c>
      <c r="E482" s="1246">
        <f t="shared" si="154"/>
        <v>7403033.67</v>
      </c>
      <c r="F482" s="1246">
        <f t="shared" si="154"/>
        <v>68500270.53</v>
      </c>
      <c r="G482" s="1246">
        <f t="shared" si="154"/>
        <v>8431184.23</v>
      </c>
      <c r="H482" s="1246">
        <f t="shared" si="154"/>
        <v>58659.2</v>
      </c>
      <c r="I482" s="1246">
        <f t="shared" si="154"/>
        <v>1155450</v>
      </c>
      <c r="J482" s="1246">
        <f t="shared" si="154"/>
        <v>7334393.43</v>
      </c>
      <c r="K482" s="1246">
        <f t="shared" si="154"/>
        <v>76788663.49000001</v>
      </c>
      <c r="L482" s="1246">
        <f t="shared" si="154"/>
        <v>75834663.96000001</v>
      </c>
    </row>
  </sheetData>
  <sheetProtection/>
  <mergeCells count="20">
    <mergeCell ref="B1:K1"/>
    <mergeCell ref="B44:K45"/>
    <mergeCell ref="B110:B111"/>
    <mergeCell ref="A110:A111"/>
    <mergeCell ref="A482:B482"/>
    <mergeCell ref="A477:B477"/>
    <mergeCell ref="B156:B157"/>
    <mergeCell ref="A479:B479"/>
    <mergeCell ref="A156:A157"/>
    <mergeCell ref="A46:B46"/>
    <mergeCell ref="A478:B478"/>
    <mergeCell ref="A481:B481"/>
    <mergeCell ref="A189:A190"/>
    <mergeCell ref="L110:L111"/>
    <mergeCell ref="L82:L83"/>
    <mergeCell ref="L189:L190"/>
    <mergeCell ref="B189:B190"/>
    <mergeCell ref="A480:B480"/>
    <mergeCell ref="L156:L157"/>
    <mergeCell ref="L128:L129"/>
  </mergeCells>
  <printOptions horizontalCentered="1"/>
  <pageMargins left="0.31496062992125984" right="0.2362204724409449" top="0.5905511811023623" bottom="0.31496062992125984" header="0.3937007874015748" footer="0.31496062992125984"/>
  <pageSetup firstPageNumber="8" useFirstPageNumber="1" horizontalDpi="600" verticalDpi="600" orientation="landscape" paperSize="9" scale="30" r:id="rId1"/>
  <headerFooter alignWithMargins="0">
    <oddHeader>&amp;C&amp;22&amp;P</oddHeader>
  </headerFooter>
  <rowBreaks count="17" manualBreakCount="17">
    <brk id="42" max="255" man="1"/>
    <brk id="78" max="255" man="1"/>
    <brk id="105" max="255" man="1"/>
    <brk id="124" max="255" man="1"/>
    <brk id="152" max="255" man="1"/>
    <brk id="184" max="255" man="1"/>
    <brk id="220" max="255" man="1"/>
    <brk id="229" max="255" man="1"/>
    <brk id="254" max="255" man="1"/>
    <brk id="288" max="255" man="1"/>
    <brk id="304" max="15" man="1"/>
    <brk id="338" max="255" man="1"/>
    <brk id="391" max="15" man="1"/>
    <brk id="426" max="15" man="1"/>
    <brk id="439" max="255" man="1"/>
    <brk id="449" max="15" man="1"/>
    <brk id="465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L201"/>
  <sheetViews>
    <sheetView view="pageBreakPreview" zoomScale="60" zoomScaleNormal="50" zoomScalePageLayoutView="0" workbookViewId="0" topLeftCell="C191">
      <selection activeCell="D135" sqref="D135:L135"/>
    </sheetView>
  </sheetViews>
  <sheetFormatPr defaultColWidth="9.140625" defaultRowHeight="12.75"/>
  <cols>
    <col min="1" max="1" width="25.8515625" style="230" customWidth="1"/>
    <col min="2" max="2" width="115.00390625" style="230" customWidth="1"/>
    <col min="3" max="11" width="29.140625" style="230" customWidth="1"/>
    <col min="12" max="13" width="31.7109375" style="230" customWidth="1"/>
    <col min="14" max="16384" width="9.140625" style="230" customWidth="1"/>
  </cols>
  <sheetData>
    <row r="1" ht="26.25" customHeight="1"/>
    <row r="2" spans="1:12" ht="36" customHeight="1">
      <c r="A2" s="1531" t="s">
        <v>36</v>
      </c>
      <c r="B2" s="1531"/>
      <c r="C2" s="1531"/>
      <c r="D2" s="1531"/>
      <c r="E2" s="1531"/>
      <c r="F2" s="1531"/>
      <c r="G2" s="1531"/>
      <c r="H2" s="1531"/>
      <c r="I2" s="1531"/>
      <c r="J2" s="1531"/>
      <c r="K2" s="1531"/>
      <c r="L2" s="1531"/>
    </row>
    <row r="3" spans="1:12" ht="39" customHeight="1">
      <c r="A3" s="1532" t="s">
        <v>1039</v>
      </c>
      <c r="B3" s="1532"/>
      <c r="C3" s="1532"/>
      <c r="D3" s="1532"/>
      <c r="E3" s="1532"/>
      <c r="F3" s="1532"/>
      <c r="G3" s="1532"/>
      <c r="H3" s="1532"/>
      <c r="I3" s="1532"/>
      <c r="J3" s="1532"/>
      <c r="K3" s="1532"/>
      <c r="L3" s="1532"/>
    </row>
    <row r="4" spans="1:12" ht="27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spans="1:12" ht="31.5" customHeight="1" thickBot="1">
      <c r="A5" s="231"/>
      <c r="B5" s="232" t="s">
        <v>160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12" s="236" customFormat="1" ht="297" customHeight="1">
      <c r="A6" s="234" t="s">
        <v>186</v>
      </c>
      <c r="B6" s="235" t="s">
        <v>496</v>
      </c>
      <c r="C6" s="816" t="s">
        <v>1130</v>
      </c>
      <c r="D6" s="816" t="s">
        <v>1363</v>
      </c>
      <c r="E6" s="816" t="s">
        <v>1364</v>
      </c>
      <c r="F6" s="816" t="s">
        <v>1365</v>
      </c>
      <c r="G6" s="816" t="s">
        <v>1185</v>
      </c>
      <c r="H6" s="816" t="s">
        <v>1366</v>
      </c>
      <c r="I6" s="816" t="s">
        <v>1367</v>
      </c>
      <c r="J6" s="816" t="s">
        <v>1368</v>
      </c>
      <c r="K6" s="816" t="s">
        <v>1131</v>
      </c>
      <c r="L6" s="816" t="s">
        <v>1362</v>
      </c>
    </row>
    <row r="7" spans="1:12" s="241" customFormat="1" ht="20.25" customHeight="1">
      <c r="A7" s="237">
        <v>0</v>
      </c>
      <c r="B7" s="238">
        <v>1</v>
      </c>
      <c r="C7" s="239">
        <v>2</v>
      </c>
      <c r="D7" s="239">
        <v>3</v>
      </c>
      <c r="E7" s="239">
        <v>4</v>
      </c>
      <c r="F7" s="239">
        <v>5</v>
      </c>
      <c r="G7" s="239">
        <v>6</v>
      </c>
      <c r="H7" s="239">
        <v>7</v>
      </c>
      <c r="I7" s="239">
        <v>8</v>
      </c>
      <c r="J7" s="239">
        <v>9</v>
      </c>
      <c r="K7" s="239">
        <v>10</v>
      </c>
      <c r="L7" s="240">
        <v>11</v>
      </c>
    </row>
    <row r="8" spans="1:12" ht="49.5" customHeight="1">
      <c r="A8" s="242">
        <v>610000</v>
      </c>
      <c r="B8" s="243" t="s">
        <v>37</v>
      </c>
      <c r="C8" s="244"/>
      <c r="D8" s="244"/>
      <c r="E8" s="244"/>
      <c r="F8" s="244"/>
      <c r="G8" s="244"/>
      <c r="H8" s="244"/>
      <c r="I8" s="244"/>
      <c r="J8" s="244"/>
      <c r="K8" s="244"/>
      <c r="L8" s="245"/>
    </row>
    <row r="9" spans="1:12" ht="19.5" customHeight="1">
      <c r="A9" s="246"/>
      <c r="B9" s="247"/>
      <c r="C9" s="248"/>
      <c r="D9" s="248"/>
      <c r="E9" s="248"/>
      <c r="F9" s="248"/>
      <c r="G9" s="248"/>
      <c r="H9" s="248"/>
      <c r="I9" s="248"/>
      <c r="J9" s="248"/>
      <c r="K9" s="248"/>
      <c r="L9" s="249"/>
    </row>
    <row r="10" spans="1:12" ht="42" customHeight="1">
      <c r="A10" s="250">
        <v>611000</v>
      </c>
      <c r="B10" s="251" t="s">
        <v>425</v>
      </c>
      <c r="C10" s="252">
        <f aca="true" t="shared" si="0" ref="C10:L10">SUM(C39,)</f>
        <v>9861900</v>
      </c>
      <c r="D10" s="252">
        <f t="shared" si="0"/>
        <v>0</v>
      </c>
      <c r="E10" s="252">
        <f t="shared" si="0"/>
        <v>0</v>
      </c>
      <c r="F10" s="252">
        <f t="shared" si="0"/>
        <v>9861900</v>
      </c>
      <c r="G10" s="252">
        <f t="shared" si="0"/>
        <v>0</v>
      </c>
      <c r="H10" s="252">
        <f t="shared" si="0"/>
        <v>0</v>
      </c>
      <c r="I10" s="252">
        <f t="shared" si="0"/>
        <v>0</v>
      </c>
      <c r="J10" s="252">
        <f t="shared" si="0"/>
        <v>0</v>
      </c>
      <c r="K10" s="252">
        <f t="shared" si="0"/>
        <v>9861900</v>
      </c>
      <c r="L10" s="252">
        <f t="shared" si="0"/>
        <v>9861900</v>
      </c>
    </row>
    <row r="11" spans="1:12" ht="39" customHeight="1">
      <c r="A11" s="254">
        <v>611000</v>
      </c>
      <c r="B11" s="255" t="s">
        <v>183</v>
      </c>
      <c r="C11" s="256">
        <f aca="true" t="shared" si="1" ref="C11:L11">SUM(C40)</f>
        <v>2855000</v>
      </c>
      <c r="D11" s="256">
        <f t="shared" si="1"/>
        <v>127000</v>
      </c>
      <c r="E11" s="256">
        <f t="shared" si="1"/>
        <v>57000</v>
      </c>
      <c r="F11" s="256">
        <f t="shared" si="1"/>
        <v>2925000</v>
      </c>
      <c r="G11" s="256">
        <f t="shared" si="1"/>
        <v>1052964</v>
      </c>
      <c r="H11" s="256">
        <f t="shared" si="1"/>
        <v>0</v>
      </c>
      <c r="I11" s="256">
        <f t="shared" si="1"/>
        <v>100000</v>
      </c>
      <c r="J11" s="256">
        <f t="shared" si="1"/>
        <v>952964</v>
      </c>
      <c r="K11" s="256">
        <f t="shared" si="1"/>
        <v>3907964</v>
      </c>
      <c r="L11" s="256">
        <f t="shared" si="1"/>
        <v>3877964</v>
      </c>
    </row>
    <row r="12" spans="1:12" ht="39" customHeight="1">
      <c r="A12" s="257">
        <v>611200</v>
      </c>
      <c r="B12" s="258" t="s">
        <v>426</v>
      </c>
      <c r="C12" s="256">
        <f aca="true" t="shared" si="2" ref="C12:L12">SUM(C43,)</f>
        <v>2064300</v>
      </c>
      <c r="D12" s="256">
        <f t="shared" si="2"/>
        <v>0</v>
      </c>
      <c r="E12" s="256">
        <f t="shared" si="2"/>
        <v>0</v>
      </c>
      <c r="F12" s="256">
        <f t="shared" si="2"/>
        <v>2064300</v>
      </c>
      <c r="G12" s="256">
        <f t="shared" si="2"/>
        <v>0</v>
      </c>
      <c r="H12" s="256">
        <f t="shared" si="2"/>
        <v>0</v>
      </c>
      <c r="I12" s="256">
        <f t="shared" si="2"/>
        <v>0</v>
      </c>
      <c r="J12" s="256">
        <f t="shared" si="2"/>
        <v>0</v>
      </c>
      <c r="K12" s="256">
        <f t="shared" si="2"/>
        <v>2064300</v>
      </c>
      <c r="L12" s="256">
        <f t="shared" si="2"/>
        <v>2064300</v>
      </c>
    </row>
    <row r="13" spans="1:12" ht="39" customHeight="1">
      <c r="A13" s="257">
        <v>611200</v>
      </c>
      <c r="B13" s="259" t="s">
        <v>184</v>
      </c>
      <c r="C13" s="256">
        <f aca="true" t="shared" si="3" ref="C13:L13">SUM(C44,)</f>
        <v>219000</v>
      </c>
      <c r="D13" s="256">
        <f t="shared" si="3"/>
        <v>0</v>
      </c>
      <c r="E13" s="256">
        <f t="shared" si="3"/>
        <v>0</v>
      </c>
      <c r="F13" s="256">
        <f t="shared" si="3"/>
        <v>219000</v>
      </c>
      <c r="G13" s="256">
        <f t="shared" si="3"/>
        <v>452730</v>
      </c>
      <c r="H13" s="256">
        <f t="shared" si="3"/>
        <v>0</v>
      </c>
      <c r="I13" s="256">
        <f t="shared" si="3"/>
        <v>0</v>
      </c>
      <c r="J13" s="256">
        <f t="shared" si="3"/>
        <v>452730</v>
      </c>
      <c r="K13" s="256">
        <f t="shared" si="3"/>
        <v>671730</v>
      </c>
      <c r="L13" s="256">
        <f t="shared" si="3"/>
        <v>671730</v>
      </c>
    </row>
    <row r="14" spans="1:12" ht="39" customHeight="1">
      <c r="A14" s="257">
        <v>612000</v>
      </c>
      <c r="B14" s="259" t="s">
        <v>427</v>
      </c>
      <c r="C14" s="256">
        <f aca="true" t="shared" si="4" ref="C14:L14">SUM(C47,)</f>
        <v>1148800</v>
      </c>
      <c r="D14" s="256">
        <f t="shared" si="4"/>
        <v>0</v>
      </c>
      <c r="E14" s="256">
        <f t="shared" si="4"/>
        <v>0</v>
      </c>
      <c r="F14" s="256">
        <f t="shared" si="4"/>
        <v>1148800</v>
      </c>
      <c r="G14" s="256">
        <f t="shared" si="4"/>
        <v>0</v>
      </c>
      <c r="H14" s="256">
        <f t="shared" si="4"/>
        <v>0</v>
      </c>
      <c r="I14" s="256">
        <f t="shared" si="4"/>
        <v>0</v>
      </c>
      <c r="J14" s="256">
        <f t="shared" si="4"/>
        <v>0</v>
      </c>
      <c r="K14" s="256">
        <f t="shared" si="4"/>
        <v>1148800</v>
      </c>
      <c r="L14" s="256">
        <f t="shared" si="4"/>
        <v>1148800</v>
      </c>
    </row>
    <row r="15" spans="1:12" ht="39" customHeight="1">
      <c r="A15" s="257">
        <v>612000</v>
      </c>
      <c r="B15" s="259" t="s">
        <v>185</v>
      </c>
      <c r="C15" s="256">
        <f aca="true" t="shared" si="5" ref="C15:L15">SUM(C48,)</f>
        <v>154500</v>
      </c>
      <c r="D15" s="256">
        <f t="shared" si="5"/>
        <v>3000</v>
      </c>
      <c r="E15" s="256">
        <f t="shared" si="5"/>
        <v>0</v>
      </c>
      <c r="F15" s="256">
        <f t="shared" si="5"/>
        <v>157500</v>
      </c>
      <c r="G15" s="256">
        <f t="shared" si="5"/>
        <v>271400</v>
      </c>
      <c r="H15" s="256">
        <f t="shared" si="5"/>
        <v>0</v>
      </c>
      <c r="I15" s="256">
        <f t="shared" si="5"/>
        <v>0</v>
      </c>
      <c r="J15" s="256">
        <f t="shared" si="5"/>
        <v>271400</v>
      </c>
      <c r="K15" s="256">
        <f t="shared" si="5"/>
        <v>425900</v>
      </c>
      <c r="L15" s="256">
        <f t="shared" si="5"/>
        <v>428900</v>
      </c>
    </row>
    <row r="16" spans="1:12" ht="39" customHeight="1">
      <c r="A16" s="257">
        <v>613000</v>
      </c>
      <c r="B16" s="259" t="s">
        <v>39</v>
      </c>
      <c r="C16" s="256">
        <f aca="true" t="shared" si="6" ref="C16:L16">C111</f>
        <v>15605717.85</v>
      </c>
      <c r="D16" s="256">
        <f t="shared" si="6"/>
        <v>2666043.37</v>
      </c>
      <c r="E16" s="256">
        <f t="shared" si="6"/>
        <v>2640000</v>
      </c>
      <c r="F16" s="256">
        <f t="shared" si="6"/>
        <v>15631761.22</v>
      </c>
      <c r="G16" s="256">
        <f t="shared" si="6"/>
        <v>1186939.7</v>
      </c>
      <c r="H16" s="256">
        <f t="shared" si="6"/>
        <v>0</v>
      </c>
      <c r="I16" s="256">
        <f t="shared" si="6"/>
        <v>0</v>
      </c>
      <c r="J16" s="256">
        <f t="shared" si="6"/>
        <v>1186939.7</v>
      </c>
      <c r="K16" s="256">
        <f t="shared" si="6"/>
        <v>16792657.549999997</v>
      </c>
      <c r="L16" s="256">
        <f t="shared" si="6"/>
        <v>16818700.92</v>
      </c>
    </row>
    <row r="17" spans="1:12" ht="39" customHeight="1">
      <c r="A17" s="257">
        <v>614000</v>
      </c>
      <c r="B17" s="259" t="s">
        <v>40</v>
      </c>
      <c r="C17" s="256">
        <f aca="true" t="shared" si="7" ref="C17:L17">C146</f>
        <v>8463600</v>
      </c>
      <c r="D17" s="256">
        <f t="shared" si="7"/>
        <v>1867000</v>
      </c>
      <c r="E17" s="256">
        <f t="shared" si="7"/>
        <v>180000</v>
      </c>
      <c r="F17" s="256">
        <f t="shared" si="7"/>
        <v>10150600</v>
      </c>
      <c r="G17" s="256">
        <f t="shared" si="7"/>
        <v>899000</v>
      </c>
      <c r="H17" s="256">
        <f t="shared" si="7"/>
        <v>0</v>
      </c>
      <c r="I17" s="256">
        <f t="shared" si="7"/>
        <v>0</v>
      </c>
      <c r="J17" s="256">
        <f t="shared" si="7"/>
        <v>899000</v>
      </c>
      <c r="K17" s="256">
        <f t="shared" si="7"/>
        <v>9362600</v>
      </c>
      <c r="L17" s="256">
        <f t="shared" si="7"/>
        <v>11049600</v>
      </c>
    </row>
    <row r="18" spans="1:12" ht="39" customHeight="1">
      <c r="A18" s="257">
        <v>615000</v>
      </c>
      <c r="B18" s="259" t="s">
        <v>41</v>
      </c>
      <c r="C18" s="256">
        <f aca="true" t="shared" si="8" ref="C18:L18">C157</f>
        <v>1755000</v>
      </c>
      <c r="D18" s="256">
        <f t="shared" si="8"/>
        <v>800000</v>
      </c>
      <c r="E18" s="256">
        <f t="shared" si="8"/>
        <v>560000</v>
      </c>
      <c r="F18" s="256">
        <f t="shared" si="8"/>
        <v>1995000</v>
      </c>
      <c r="G18" s="256">
        <f t="shared" si="8"/>
        <v>0</v>
      </c>
      <c r="H18" s="256">
        <f t="shared" si="8"/>
        <v>0</v>
      </c>
      <c r="I18" s="256">
        <f t="shared" si="8"/>
        <v>0</v>
      </c>
      <c r="J18" s="256">
        <f t="shared" si="8"/>
        <v>0</v>
      </c>
      <c r="K18" s="256">
        <f t="shared" si="8"/>
        <v>1755000</v>
      </c>
      <c r="L18" s="256">
        <f t="shared" si="8"/>
        <v>1995000</v>
      </c>
    </row>
    <row r="19" spans="1:12" ht="39" customHeight="1">
      <c r="A19" s="257">
        <v>616000</v>
      </c>
      <c r="B19" s="259" t="s">
        <v>103</v>
      </c>
      <c r="C19" s="256">
        <f aca="true" t="shared" si="9" ref="C19:L19">C160</f>
        <v>317000</v>
      </c>
      <c r="D19" s="256">
        <f t="shared" si="9"/>
        <v>0</v>
      </c>
      <c r="E19" s="256">
        <f t="shared" si="9"/>
        <v>0</v>
      </c>
      <c r="F19" s="256">
        <f t="shared" si="9"/>
        <v>317000</v>
      </c>
      <c r="G19" s="256">
        <f t="shared" si="9"/>
        <v>0</v>
      </c>
      <c r="H19" s="256">
        <f t="shared" si="9"/>
        <v>0</v>
      </c>
      <c r="I19" s="256">
        <f t="shared" si="9"/>
        <v>0</v>
      </c>
      <c r="J19" s="256">
        <f t="shared" si="9"/>
        <v>0</v>
      </c>
      <c r="K19" s="256">
        <f t="shared" si="9"/>
        <v>317000</v>
      </c>
      <c r="L19" s="256">
        <f t="shared" si="9"/>
        <v>317000</v>
      </c>
    </row>
    <row r="20" spans="1:12" ht="49.5" customHeight="1">
      <c r="A20" s="257">
        <v>610000</v>
      </c>
      <c r="B20" s="259" t="s">
        <v>483</v>
      </c>
      <c r="C20" s="260">
        <f aca="true" t="shared" si="10" ref="C20:L20">SUM(C199)</f>
        <v>2300</v>
      </c>
      <c r="D20" s="260">
        <f t="shared" si="10"/>
        <v>0</v>
      </c>
      <c r="E20" s="260">
        <f t="shared" si="10"/>
        <v>0</v>
      </c>
      <c r="F20" s="260">
        <f t="shared" si="10"/>
        <v>2300</v>
      </c>
      <c r="G20" s="260">
        <f t="shared" si="10"/>
        <v>47600</v>
      </c>
      <c r="H20" s="260">
        <f t="shared" si="10"/>
        <v>0</v>
      </c>
      <c r="I20" s="260">
        <f t="shared" si="10"/>
        <v>0</v>
      </c>
      <c r="J20" s="260">
        <f t="shared" si="10"/>
        <v>47600</v>
      </c>
      <c r="K20" s="260">
        <f t="shared" si="10"/>
        <v>49900</v>
      </c>
      <c r="L20" s="260">
        <f t="shared" si="10"/>
        <v>49900</v>
      </c>
    </row>
    <row r="21" spans="1:12" ht="49.5" customHeight="1">
      <c r="A21" s="261"/>
      <c r="B21" s="262" t="s">
        <v>785</v>
      </c>
      <c r="C21" s="263">
        <f aca="true" t="shared" si="11" ref="C21:L21">SUM(C10:C20)</f>
        <v>42447117.85</v>
      </c>
      <c r="D21" s="263">
        <f t="shared" si="11"/>
        <v>5463043.37</v>
      </c>
      <c r="E21" s="263">
        <f t="shared" si="11"/>
        <v>3437000</v>
      </c>
      <c r="F21" s="263">
        <f t="shared" si="11"/>
        <v>44473161.22</v>
      </c>
      <c r="G21" s="263">
        <f t="shared" si="11"/>
        <v>3910633.7</v>
      </c>
      <c r="H21" s="263">
        <f t="shared" si="11"/>
        <v>0</v>
      </c>
      <c r="I21" s="263">
        <f t="shared" si="11"/>
        <v>100000</v>
      </c>
      <c r="J21" s="263">
        <f t="shared" si="11"/>
        <v>3810633.7</v>
      </c>
      <c r="K21" s="263">
        <f t="shared" si="11"/>
        <v>46357751.55</v>
      </c>
      <c r="L21" s="263">
        <f t="shared" si="11"/>
        <v>48283794.92</v>
      </c>
    </row>
    <row r="22" spans="1:12" ht="49.5" customHeight="1">
      <c r="A22" s="242">
        <v>820000</v>
      </c>
      <c r="B22" s="265" t="s">
        <v>888</v>
      </c>
      <c r="C22" s="266"/>
      <c r="D22" s="266"/>
      <c r="E22" s="266"/>
      <c r="F22" s="266"/>
      <c r="G22" s="266"/>
      <c r="H22" s="266"/>
      <c r="I22" s="266"/>
      <c r="J22" s="266"/>
      <c r="K22" s="266"/>
      <c r="L22" s="266"/>
    </row>
    <row r="23" spans="1:12" ht="18" customHeight="1">
      <c r="A23" s="246"/>
      <c r="B23" s="267"/>
      <c r="C23" s="268"/>
      <c r="D23" s="268"/>
      <c r="E23" s="268"/>
      <c r="F23" s="268"/>
      <c r="G23" s="268"/>
      <c r="H23" s="268"/>
      <c r="I23" s="268"/>
      <c r="J23" s="268"/>
      <c r="K23" s="268"/>
      <c r="L23" s="268"/>
    </row>
    <row r="24" spans="1:12" ht="45" customHeight="1">
      <c r="A24" s="250">
        <v>821000</v>
      </c>
      <c r="B24" s="251" t="s">
        <v>104</v>
      </c>
      <c r="C24" s="253">
        <f aca="true" t="shared" si="12" ref="C24:L24">C194</f>
        <v>22320361.410000004</v>
      </c>
      <c r="D24" s="253">
        <f t="shared" si="12"/>
        <v>681000</v>
      </c>
      <c r="E24" s="253">
        <f t="shared" si="12"/>
        <v>2564252.1</v>
      </c>
      <c r="F24" s="253">
        <f t="shared" si="12"/>
        <v>20437109.310000002</v>
      </c>
      <c r="G24" s="253">
        <f t="shared" si="12"/>
        <v>4352550.53</v>
      </c>
      <c r="H24" s="253">
        <f t="shared" si="12"/>
        <v>11059.2</v>
      </c>
      <c r="I24" s="253">
        <f t="shared" si="12"/>
        <v>1007850</v>
      </c>
      <c r="J24" s="253">
        <f t="shared" si="12"/>
        <v>3355759.73</v>
      </c>
      <c r="K24" s="253">
        <f t="shared" si="12"/>
        <v>26672911.94</v>
      </c>
      <c r="L24" s="253">
        <f t="shared" si="12"/>
        <v>23792869.040000003</v>
      </c>
    </row>
    <row r="25" spans="1:12" ht="49.5" customHeight="1">
      <c r="A25" s="269">
        <v>820000</v>
      </c>
      <c r="B25" s="259" t="s">
        <v>483</v>
      </c>
      <c r="C25" s="256">
        <f aca="true" t="shared" si="13" ref="C25:L25">SUM(C200)</f>
        <v>0</v>
      </c>
      <c r="D25" s="256">
        <f t="shared" si="13"/>
        <v>0</v>
      </c>
      <c r="E25" s="256">
        <f t="shared" si="13"/>
        <v>0</v>
      </c>
      <c r="F25" s="256">
        <f t="shared" si="13"/>
        <v>0</v>
      </c>
      <c r="G25" s="256">
        <f t="shared" si="13"/>
        <v>168000</v>
      </c>
      <c r="H25" s="256">
        <f t="shared" si="13"/>
        <v>0</v>
      </c>
      <c r="I25" s="256">
        <f t="shared" si="13"/>
        <v>0</v>
      </c>
      <c r="J25" s="256">
        <f t="shared" si="13"/>
        <v>168000</v>
      </c>
      <c r="K25" s="256">
        <f t="shared" si="13"/>
        <v>168000</v>
      </c>
      <c r="L25" s="256">
        <f t="shared" si="13"/>
        <v>168000</v>
      </c>
    </row>
    <row r="26" spans="1:12" ht="49.5" customHeight="1">
      <c r="A26" s="254"/>
      <c r="B26" s="270" t="s">
        <v>105</v>
      </c>
      <c r="C26" s="271">
        <f aca="true" t="shared" si="14" ref="C26:L26">SUM(C24:C25)</f>
        <v>22320361.410000004</v>
      </c>
      <c r="D26" s="271">
        <f t="shared" si="14"/>
        <v>681000</v>
      </c>
      <c r="E26" s="271">
        <f t="shared" si="14"/>
        <v>2564252.1</v>
      </c>
      <c r="F26" s="271">
        <f t="shared" si="14"/>
        <v>20437109.310000002</v>
      </c>
      <c r="G26" s="271">
        <f t="shared" si="14"/>
        <v>4520550.53</v>
      </c>
      <c r="H26" s="271">
        <f t="shared" si="14"/>
        <v>11059.2</v>
      </c>
      <c r="I26" s="271">
        <f t="shared" si="14"/>
        <v>1007850</v>
      </c>
      <c r="J26" s="271">
        <f t="shared" si="14"/>
        <v>3523759.73</v>
      </c>
      <c r="K26" s="271">
        <f t="shared" si="14"/>
        <v>26840911.94</v>
      </c>
      <c r="L26" s="271">
        <f t="shared" si="14"/>
        <v>23960869.040000003</v>
      </c>
    </row>
    <row r="27" spans="1:12" ht="49.5" customHeight="1">
      <c r="A27" s="261"/>
      <c r="B27" s="272" t="s">
        <v>809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</row>
    <row r="28" spans="1:12" ht="49.5" customHeight="1">
      <c r="A28" s="275">
        <v>823000</v>
      </c>
      <c r="B28" s="276" t="s">
        <v>759</v>
      </c>
      <c r="C28" s="253">
        <f aca="true" t="shared" si="15" ref="C28:L28">SUM(C196,)</f>
        <v>1390000</v>
      </c>
      <c r="D28" s="253">
        <f t="shared" si="15"/>
        <v>0</v>
      </c>
      <c r="E28" s="253">
        <f t="shared" si="15"/>
        <v>0</v>
      </c>
      <c r="F28" s="253">
        <f t="shared" si="15"/>
        <v>1390000</v>
      </c>
      <c r="G28" s="253">
        <f t="shared" si="15"/>
        <v>0</v>
      </c>
      <c r="H28" s="253">
        <f t="shared" si="15"/>
        <v>0</v>
      </c>
      <c r="I28" s="253">
        <f t="shared" si="15"/>
        <v>0</v>
      </c>
      <c r="J28" s="253">
        <f t="shared" si="15"/>
        <v>0</v>
      </c>
      <c r="K28" s="253">
        <f t="shared" si="15"/>
        <v>1390000</v>
      </c>
      <c r="L28" s="253">
        <f t="shared" si="15"/>
        <v>1390000</v>
      </c>
    </row>
    <row r="29" spans="1:12" ht="49.5" customHeight="1">
      <c r="A29" s="275">
        <v>823000</v>
      </c>
      <c r="B29" s="982" t="s">
        <v>981</v>
      </c>
      <c r="C29" s="253">
        <f aca="true" t="shared" si="16" ref="C29:L29">SUM(C197)</f>
        <v>2050000</v>
      </c>
      <c r="D29" s="253">
        <f t="shared" si="16"/>
        <v>0</v>
      </c>
      <c r="E29" s="253">
        <f t="shared" si="16"/>
        <v>0</v>
      </c>
      <c r="F29" s="253">
        <f t="shared" si="16"/>
        <v>2050000</v>
      </c>
      <c r="G29" s="253">
        <f t="shared" si="16"/>
        <v>0</v>
      </c>
      <c r="H29" s="253">
        <f t="shared" si="16"/>
        <v>0</v>
      </c>
      <c r="I29" s="253">
        <f t="shared" si="16"/>
        <v>0</v>
      </c>
      <c r="J29" s="253">
        <f t="shared" si="16"/>
        <v>0</v>
      </c>
      <c r="K29" s="253">
        <f t="shared" si="16"/>
        <v>2050000</v>
      </c>
      <c r="L29" s="253">
        <f t="shared" si="16"/>
        <v>2050000</v>
      </c>
    </row>
    <row r="30" spans="1:12" ht="49.5" customHeight="1">
      <c r="A30" s="254"/>
      <c r="B30" s="270" t="s">
        <v>810</v>
      </c>
      <c r="C30" s="271">
        <f aca="true" t="shared" si="17" ref="C30:L30">SUM(C28,C29,)</f>
        <v>3440000</v>
      </c>
      <c r="D30" s="271">
        <f t="shared" si="17"/>
        <v>0</v>
      </c>
      <c r="E30" s="271">
        <f t="shared" si="17"/>
        <v>0</v>
      </c>
      <c r="F30" s="271">
        <f t="shared" si="17"/>
        <v>3440000</v>
      </c>
      <c r="G30" s="271">
        <f t="shared" si="17"/>
        <v>0</v>
      </c>
      <c r="H30" s="271">
        <f t="shared" si="17"/>
        <v>0</v>
      </c>
      <c r="I30" s="271">
        <f t="shared" si="17"/>
        <v>0</v>
      </c>
      <c r="J30" s="271">
        <f t="shared" si="17"/>
        <v>0</v>
      </c>
      <c r="K30" s="271">
        <f t="shared" si="17"/>
        <v>3440000</v>
      </c>
      <c r="L30" s="271">
        <f t="shared" si="17"/>
        <v>3440000</v>
      </c>
    </row>
    <row r="31" spans="1:12" ht="49.5" customHeight="1">
      <c r="A31" s="277">
        <v>610000</v>
      </c>
      <c r="B31" s="278" t="s">
        <v>106</v>
      </c>
      <c r="C31" s="271">
        <f aca="true" t="shared" si="18" ref="C31:L31">C198</f>
        <v>150000</v>
      </c>
      <c r="D31" s="271">
        <f t="shared" si="18"/>
        <v>0</v>
      </c>
      <c r="E31" s="271">
        <f t="shared" si="18"/>
        <v>0</v>
      </c>
      <c r="F31" s="271">
        <f t="shared" si="18"/>
        <v>150000</v>
      </c>
      <c r="G31" s="271">
        <f t="shared" si="18"/>
        <v>0</v>
      </c>
      <c r="H31" s="271">
        <f t="shared" si="18"/>
        <v>0</v>
      </c>
      <c r="I31" s="271">
        <f t="shared" si="18"/>
        <v>0</v>
      </c>
      <c r="J31" s="271">
        <f t="shared" si="18"/>
        <v>0</v>
      </c>
      <c r="K31" s="271">
        <f t="shared" si="18"/>
        <v>150000</v>
      </c>
      <c r="L31" s="271">
        <f t="shared" si="18"/>
        <v>150000</v>
      </c>
    </row>
    <row r="32" spans="1:12" ht="54" customHeight="1" thickBot="1">
      <c r="A32" s="279"/>
      <c r="B32" s="280" t="s">
        <v>107</v>
      </c>
      <c r="C32" s="281">
        <f aca="true" t="shared" si="19" ref="C32:L32">SUM(C21,C26,C31,C30,)</f>
        <v>68357479.26</v>
      </c>
      <c r="D32" s="281">
        <f t="shared" si="19"/>
        <v>6144043.37</v>
      </c>
      <c r="E32" s="281">
        <f t="shared" si="19"/>
        <v>6001252.1</v>
      </c>
      <c r="F32" s="281">
        <f t="shared" si="19"/>
        <v>68500270.53</v>
      </c>
      <c r="G32" s="281">
        <f t="shared" si="19"/>
        <v>8431184.23</v>
      </c>
      <c r="H32" s="281">
        <f t="shared" si="19"/>
        <v>11059.2</v>
      </c>
      <c r="I32" s="281">
        <f t="shared" si="19"/>
        <v>1107850</v>
      </c>
      <c r="J32" s="281">
        <f t="shared" si="19"/>
        <v>7334393.43</v>
      </c>
      <c r="K32" s="281">
        <f t="shared" si="19"/>
        <v>76788663.49</v>
      </c>
      <c r="L32" s="281">
        <f t="shared" si="19"/>
        <v>75834663.96000001</v>
      </c>
    </row>
    <row r="33" spans="1:12" ht="25.5">
      <c r="A33" s="282"/>
      <c r="B33" s="282"/>
      <c r="C33" s="283"/>
      <c r="D33" s="283"/>
      <c r="E33" s="283"/>
      <c r="F33" s="283"/>
      <c r="G33" s="283"/>
      <c r="H33" s="283"/>
      <c r="I33" s="283"/>
      <c r="J33" s="283"/>
      <c r="K33" s="283"/>
      <c r="L33" s="283"/>
    </row>
    <row r="34" spans="1:12" ht="26.25" thickBot="1">
      <c r="A34" s="282"/>
      <c r="B34" s="282"/>
      <c r="C34" s="283"/>
      <c r="D34" s="283"/>
      <c r="E34" s="283"/>
      <c r="F34" s="283"/>
      <c r="G34" s="283"/>
      <c r="H34" s="283"/>
      <c r="I34" s="283"/>
      <c r="J34" s="283"/>
      <c r="K34" s="283"/>
      <c r="L34" s="283"/>
    </row>
    <row r="35" spans="1:12" s="236" customFormat="1" ht="295.5" customHeight="1">
      <c r="A35" s="284" t="s">
        <v>186</v>
      </c>
      <c r="B35" s="285" t="s">
        <v>496</v>
      </c>
      <c r="C35" s="816" t="s">
        <v>1130</v>
      </c>
      <c r="D35" s="816" t="s">
        <v>1363</v>
      </c>
      <c r="E35" s="816" t="s">
        <v>1364</v>
      </c>
      <c r="F35" s="816" t="s">
        <v>1365</v>
      </c>
      <c r="G35" s="816" t="s">
        <v>1185</v>
      </c>
      <c r="H35" s="816" t="s">
        <v>1366</v>
      </c>
      <c r="I35" s="816" t="s">
        <v>1367</v>
      </c>
      <c r="J35" s="816" t="s">
        <v>1368</v>
      </c>
      <c r="K35" s="816" t="s">
        <v>1131</v>
      </c>
      <c r="L35" s="816" t="s">
        <v>1362</v>
      </c>
    </row>
    <row r="36" spans="1:12" s="241" customFormat="1" ht="21" customHeight="1">
      <c r="A36" s="286">
        <v>0</v>
      </c>
      <c r="B36" s="287">
        <v>1</v>
      </c>
      <c r="C36" s="239">
        <v>2</v>
      </c>
      <c r="D36" s="239">
        <v>3</v>
      </c>
      <c r="E36" s="239">
        <v>4</v>
      </c>
      <c r="F36" s="239">
        <v>5</v>
      </c>
      <c r="G36" s="239">
        <v>6</v>
      </c>
      <c r="H36" s="239">
        <v>7</v>
      </c>
      <c r="I36" s="239">
        <v>8</v>
      </c>
      <c r="J36" s="239">
        <v>9</v>
      </c>
      <c r="K36" s="239">
        <v>10</v>
      </c>
      <c r="L36" s="240">
        <v>11</v>
      </c>
    </row>
    <row r="37" spans="1:12" ht="39" customHeight="1">
      <c r="A37" s="261">
        <v>610000</v>
      </c>
      <c r="B37" s="288" t="s">
        <v>37</v>
      </c>
      <c r="C37" s="244"/>
      <c r="D37" s="244"/>
      <c r="E37" s="244"/>
      <c r="F37" s="244"/>
      <c r="G37" s="244"/>
      <c r="H37" s="244"/>
      <c r="I37" s="244"/>
      <c r="J37" s="244"/>
      <c r="K37" s="244"/>
      <c r="L37" s="245"/>
    </row>
    <row r="38" spans="1:12" ht="33" customHeight="1">
      <c r="A38" s="289">
        <v>611000</v>
      </c>
      <c r="B38" s="290" t="s">
        <v>108</v>
      </c>
      <c r="C38" s="248"/>
      <c r="D38" s="248"/>
      <c r="E38" s="248"/>
      <c r="F38" s="248"/>
      <c r="G38" s="248"/>
      <c r="H38" s="248"/>
      <c r="I38" s="248"/>
      <c r="J38" s="248"/>
      <c r="K38" s="248"/>
      <c r="L38" s="249"/>
    </row>
    <row r="39" spans="1:12" ht="28.5" customHeight="1">
      <c r="A39" s="292">
        <v>611100</v>
      </c>
      <c r="B39" s="293" t="s">
        <v>424</v>
      </c>
      <c r="C39" s="294">
        <f>SUM('POSEBNI DIO 24-52'!G135,'POSEBNI DIO 24-52'!G159,'POSEBNI DIO 24-52'!G551,'POSEBNI DIO 24-52'!G584,'POSEBNI DIO 24-52'!G626,'POSEBNI DIO 24-52'!G647,'POSEBNI DIO 24-52'!G673,'POSEBNI DIO 24-52'!G732,'POSEBNI DIO 24-52'!G821,'POSEBNI DIO 24-52'!G842,'POSEBNI DIO 24-52'!G388,'POSEBNI DIO 24-52'!G493,'POSEBNI DIO 24-52'!G888,'POSEBNI DIO 24-52'!G80,'POSEBNI DIO 24-52'!G864,'POSEBNI DIO 24-52'!G908,)</f>
        <v>9861900</v>
      </c>
      <c r="D39" s="294">
        <f>SUM('POSEBNI DIO 24-52'!H135,'POSEBNI DIO 24-52'!H159,'POSEBNI DIO 24-52'!H551,'POSEBNI DIO 24-52'!H584,'POSEBNI DIO 24-52'!H626,'POSEBNI DIO 24-52'!H647,'POSEBNI DIO 24-52'!H673,'POSEBNI DIO 24-52'!H732,'POSEBNI DIO 24-52'!H821,'POSEBNI DIO 24-52'!H842,'POSEBNI DIO 24-52'!H388,'POSEBNI DIO 24-52'!H493,'POSEBNI DIO 24-52'!H888,'POSEBNI DIO 24-52'!H80,'POSEBNI DIO 24-52'!H864,'POSEBNI DIO 24-52'!H908,)</f>
        <v>0</v>
      </c>
      <c r="E39" s="294">
        <f>SUM('POSEBNI DIO 24-52'!I135,'POSEBNI DIO 24-52'!I159,'POSEBNI DIO 24-52'!I551,'POSEBNI DIO 24-52'!I584,'POSEBNI DIO 24-52'!I626,'POSEBNI DIO 24-52'!I647,'POSEBNI DIO 24-52'!I673,'POSEBNI DIO 24-52'!I732,'POSEBNI DIO 24-52'!I821,'POSEBNI DIO 24-52'!I842,'POSEBNI DIO 24-52'!I388,'POSEBNI DIO 24-52'!I493,'POSEBNI DIO 24-52'!I888,'POSEBNI DIO 24-52'!I80,'POSEBNI DIO 24-52'!I864,'POSEBNI DIO 24-52'!I908,)</f>
        <v>0</v>
      </c>
      <c r="F39" s="294">
        <f>SUM('POSEBNI DIO 24-52'!J135,'POSEBNI DIO 24-52'!J159,'POSEBNI DIO 24-52'!J551,'POSEBNI DIO 24-52'!J584,'POSEBNI DIO 24-52'!J626,'POSEBNI DIO 24-52'!J647,'POSEBNI DIO 24-52'!J673,'POSEBNI DIO 24-52'!J732,'POSEBNI DIO 24-52'!J821,'POSEBNI DIO 24-52'!J842,'POSEBNI DIO 24-52'!J388,'POSEBNI DIO 24-52'!J493,'POSEBNI DIO 24-52'!J888,'POSEBNI DIO 24-52'!J80,'POSEBNI DIO 24-52'!J864,'POSEBNI DIO 24-52'!J908,)</f>
        <v>9861900</v>
      </c>
      <c r="G39" s="294">
        <f>SUM('POSEBNI DIO 24-52'!K135,'POSEBNI DIO 24-52'!K159,'POSEBNI DIO 24-52'!K551,'POSEBNI DIO 24-52'!K584,'POSEBNI DIO 24-52'!K626,'POSEBNI DIO 24-52'!K647,'POSEBNI DIO 24-52'!K673,'POSEBNI DIO 24-52'!K732,'POSEBNI DIO 24-52'!K821,'POSEBNI DIO 24-52'!K842,'POSEBNI DIO 24-52'!K388,'POSEBNI DIO 24-52'!K493,'POSEBNI DIO 24-52'!K888,'POSEBNI DIO 24-52'!K80,'POSEBNI DIO 24-52'!K864,'POSEBNI DIO 24-52'!K908,)</f>
        <v>0</v>
      </c>
      <c r="H39" s="294">
        <f>SUM('POSEBNI DIO 24-52'!L135,'POSEBNI DIO 24-52'!L159,'POSEBNI DIO 24-52'!L551,'POSEBNI DIO 24-52'!L584,'POSEBNI DIO 24-52'!L626,'POSEBNI DIO 24-52'!L647,'POSEBNI DIO 24-52'!L673,'POSEBNI DIO 24-52'!L732,'POSEBNI DIO 24-52'!L821,'POSEBNI DIO 24-52'!L842,'POSEBNI DIO 24-52'!L388,'POSEBNI DIO 24-52'!L493,'POSEBNI DIO 24-52'!L888,'POSEBNI DIO 24-52'!L80,'POSEBNI DIO 24-52'!L864,'POSEBNI DIO 24-52'!L908,)</f>
        <v>0</v>
      </c>
      <c r="I39" s="294">
        <f>SUM('POSEBNI DIO 24-52'!M135,'POSEBNI DIO 24-52'!M159,'POSEBNI DIO 24-52'!M551,'POSEBNI DIO 24-52'!M584,'POSEBNI DIO 24-52'!M626,'POSEBNI DIO 24-52'!M647,'POSEBNI DIO 24-52'!M673,'POSEBNI DIO 24-52'!M732,'POSEBNI DIO 24-52'!M821,'POSEBNI DIO 24-52'!M842,'POSEBNI DIO 24-52'!M388,'POSEBNI DIO 24-52'!M493,'POSEBNI DIO 24-52'!M888,'POSEBNI DIO 24-52'!M80,'POSEBNI DIO 24-52'!M864,'POSEBNI DIO 24-52'!M908,)</f>
        <v>0</v>
      </c>
      <c r="J39" s="294">
        <f>SUM('POSEBNI DIO 24-52'!N135,'POSEBNI DIO 24-52'!N159,'POSEBNI DIO 24-52'!N551,'POSEBNI DIO 24-52'!N584,'POSEBNI DIO 24-52'!N626,'POSEBNI DIO 24-52'!N647,'POSEBNI DIO 24-52'!N673,'POSEBNI DIO 24-52'!N732,'POSEBNI DIO 24-52'!N821,'POSEBNI DIO 24-52'!N842,'POSEBNI DIO 24-52'!N388,'POSEBNI DIO 24-52'!N493,'POSEBNI DIO 24-52'!N888,'POSEBNI DIO 24-52'!N80,'POSEBNI DIO 24-52'!N864,'POSEBNI DIO 24-52'!N908,)</f>
        <v>0</v>
      </c>
      <c r="K39" s="294">
        <f>SUM('POSEBNI DIO 24-52'!O135,'POSEBNI DIO 24-52'!O159,'POSEBNI DIO 24-52'!O551,'POSEBNI DIO 24-52'!O584,'POSEBNI DIO 24-52'!O626,'POSEBNI DIO 24-52'!O647,'POSEBNI DIO 24-52'!O673,'POSEBNI DIO 24-52'!O732,'POSEBNI DIO 24-52'!O821,'POSEBNI DIO 24-52'!O842,'POSEBNI DIO 24-52'!O388,'POSEBNI DIO 24-52'!O493,'POSEBNI DIO 24-52'!O888,'POSEBNI DIO 24-52'!O80,'POSEBNI DIO 24-52'!O864,'POSEBNI DIO 24-52'!O908,)</f>
        <v>9861900</v>
      </c>
      <c r="L39" s="294">
        <f>SUM('POSEBNI DIO 24-52'!P135,'POSEBNI DIO 24-52'!P159,'POSEBNI DIO 24-52'!P551,'POSEBNI DIO 24-52'!P584,'POSEBNI DIO 24-52'!P626,'POSEBNI DIO 24-52'!P647,'POSEBNI DIO 24-52'!P673,'POSEBNI DIO 24-52'!P732,'POSEBNI DIO 24-52'!P821,'POSEBNI DIO 24-52'!P842,'POSEBNI DIO 24-52'!P388,'POSEBNI DIO 24-52'!P493,'POSEBNI DIO 24-52'!P888,'POSEBNI DIO 24-52'!P80,'POSEBNI DIO 24-52'!P864,'POSEBNI DIO 24-52'!P908,)</f>
        <v>9861900</v>
      </c>
    </row>
    <row r="40" spans="1:12" ht="30" customHeight="1">
      <c r="A40" s="292">
        <v>611100</v>
      </c>
      <c r="B40" s="293" t="s">
        <v>484</v>
      </c>
      <c r="C40" s="321">
        <f>SUM('POSEBNI DIO 24-52'!G248,'POSEBNI DIO 24-52'!G277,'POSEBNI DIO 24-52'!G305,'POSEBNI DIO 24-52'!G332,)</f>
        <v>2855000</v>
      </c>
      <c r="D40" s="321">
        <f>SUM('POSEBNI DIO 24-52'!H248,'POSEBNI DIO 24-52'!H277,'POSEBNI DIO 24-52'!H305,'POSEBNI DIO 24-52'!H332,)</f>
        <v>127000</v>
      </c>
      <c r="E40" s="321">
        <f>SUM('POSEBNI DIO 24-52'!I248,'POSEBNI DIO 24-52'!I277,'POSEBNI DIO 24-52'!I305,'POSEBNI DIO 24-52'!I332,)</f>
        <v>57000</v>
      </c>
      <c r="F40" s="321">
        <f>SUM('POSEBNI DIO 24-52'!J248,'POSEBNI DIO 24-52'!J277,'POSEBNI DIO 24-52'!J305,'POSEBNI DIO 24-52'!J332,)</f>
        <v>2925000</v>
      </c>
      <c r="G40" s="321">
        <f>SUM('POSEBNI DIO 24-52'!K248,'POSEBNI DIO 24-52'!K277,'POSEBNI DIO 24-52'!K305,'POSEBNI DIO 24-52'!K332,)</f>
        <v>1052964</v>
      </c>
      <c r="H40" s="321">
        <f>SUM('POSEBNI DIO 24-52'!L248,'POSEBNI DIO 24-52'!L277,'POSEBNI DIO 24-52'!L305,'POSEBNI DIO 24-52'!L332,)</f>
        <v>0</v>
      </c>
      <c r="I40" s="321">
        <f>SUM('POSEBNI DIO 24-52'!M248,'POSEBNI DIO 24-52'!M277,'POSEBNI DIO 24-52'!M305,'POSEBNI DIO 24-52'!M332,)</f>
        <v>100000</v>
      </c>
      <c r="J40" s="321">
        <f>SUM('POSEBNI DIO 24-52'!N248,'POSEBNI DIO 24-52'!N277,'POSEBNI DIO 24-52'!N305,'POSEBNI DIO 24-52'!N332,)</f>
        <v>952964</v>
      </c>
      <c r="K40" s="321">
        <f>SUM('POSEBNI DIO 24-52'!O248,'POSEBNI DIO 24-52'!O277,'POSEBNI DIO 24-52'!O305,'POSEBNI DIO 24-52'!O332,)</f>
        <v>3907964</v>
      </c>
      <c r="L40" s="321">
        <f>SUM('POSEBNI DIO 24-52'!P248,'POSEBNI DIO 24-52'!P277,'POSEBNI DIO 24-52'!P305,'POSEBNI DIO 24-52'!P332,)</f>
        <v>3877964</v>
      </c>
    </row>
    <row r="41" spans="1:12" ht="33" customHeight="1">
      <c r="A41" s="292"/>
      <c r="B41" s="295" t="s">
        <v>109</v>
      </c>
      <c r="C41" s="271">
        <f aca="true" t="shared" si="20" ref="C41:L41">SUM(C39:C40)</f>
        <v>12716900</v>
      </c>
      <c r="D41" s="271">
        <f t="shared" si="20"/>
        <v>127000</v>
      </c>
      <c r="E41" s="271">
        <f t="shared" si="20"/>
        <v>57000</v>
      </c>
      <c r="F41" s="271">
        <f t="shared" si="20"/>
        <v>12786900</v>
      </c>
      <c r="G41" s="271">
        <f t="shared" si="20"/>
        <v>1052964</v>
      </c>
      <c r="H41" s="271">
        <f t="shared" si="20"/>
        <v>0</v>
      </c>
      <c r="I41" s="271">
        <f t="shared" si="20"/>
        <v>100000</v>
      </c>
      <c r="J41" s="271">
        <f t="shared" si="20"/>
        <v>952964</v>
      </c>
      <c r="K41" s="271">
        <f t="shared" si="20"/>
        <v>13769864</v>
      </c>
      <c r="L41" s="271">
        <f t="shared" si="20"/>
        <v>13739864</v>
      </c>
    </row>
    <row r="42" spans="1:12" ht="36" customHeight="1">
      <c r="A42" s="296">
        <v>611200</v>
      </c>
      <c r="B42" s="297" t="s">
        <v>111</v>
      </c>
      <c r="C42" s="291"/>
      <c r="D42" s="291"/>
      <c r="E42" s="291"/>
      <c r="F42" s="291"/>
      <c r="G42" s="291"/>
      <c r="H42" s="291"/>
      <c r="I42" s="291"/>
      <c r="J42" s="291"/>
      <c r="K42" s="291"/>
      <c r="L42" s="291"/>
    </row>
    <row r="43" spans="1:12" ht="32.25" customHeight="1">
      <c r="A43" s="292">
        <v>611200</v>
      </c>
      <c r="B43" s="299" t="s">
        <v>428</v>
      </c>
      <c r="C43" s="365">
        <f>SUM('POSEBNI DIO 24-52'!G136,'POSEBNI DIO 24-52'!G160,'POSEBNI DIO 24-52'!G389,'POSEBNI DIO 24-52'!G494,'POSEBNI DIO 24-52'!G552,'POSEBNI DIO 24-52'!G585,'POSEBNI DIO 24-52'!G627,'POSEBNI DIO 24-52'!G648,'POSEBNI DIO 24-52'!G674,'POSEBNI DIO 24-52'!G733,'POSEBNI DIO 24-52'!G822,'POSEBNI DIO 24-52'!G843,'POSEBNI DIO 24-52'!G889,'POSEBNI DIO 24-52'!G81,'POSEBNI DIO 24-52'!G865,'POSEBNI DIO 24-52'!G909,)</f>
        <v>2064300</v>
      </c>
      <c r="D43" s="365">
        <f>SUM('POSEBNI DIO 24-52'!H136,'POSEBNI DIO 24-52'!H160,'POSEBNI DIO 24-52'!H389,'POSEBNI DIO 24-52'!H494,'POSEBNI DIO 24-52'!H552,'POSEBNI DIO 24-52'!H585,'POSEBNI DIO 24-52'!H627,'POSEBNI DIO 24-52'!H648,'POSEBNI DIO 24-52'!H674,'POSEBNI DIO 24-52'!H733,'POSEBNI DIO 24-52'!H822,'POSEBNI DIO 24-52'!H843,'POSEBNI DIO 24-52'!H889,'POSEBNI DIO 24-52'!H81,'POSEBNI DIO 24-52'!H865,'POSEBNI DIO 24-52'!H909,)</f>
        <v>0</v>
      </c>
      <c r="E43" s="365">
        <f>SUM('POSEBNI DIO 24-52'!I136,'POSEBNI DIO 24-52'!I160,'POSEBNI DIO 24-52'!I389,'POSEBNI DIO 24-52'!I494,'POSEBNI DIO 24-52'!I552,'POSEBNI DIO 24-52'!I585,'POSEBNI DIO 24-52'!I627,'POSEBNI DIO 24-52'!I648,'POSEBNI DIO 24-52'!I674,'POSEBNI DIO 24-52'!I733,'POSEBNI DIO 24-52'!I822,'POSEBNI DIO 24-52'!I843,'POSEBNI DIO 24-52'!I889,'POSEBNI DIO 24-52'!I81,'POSEBNI DIO 24-52'!I865,'POSEBNI DIO 24-52'!I909,)</f>
        <v>0</v>
      </c>
      <c r="F43" s="365">
        <f>SUM('POSEBNI DIO 24-52'!J136,'POSEBNI DIO 24-52'!J160,'POSEBNI DIO 24-52'!J389,'POSEBNI DIO 24-52'!J494,'POSEBNI DIO 24-52'!J552,'POSEBNI DIO 24-52'!J585,'POSEBNI DIO 24-52'!J627,'POSEBNI DIO 24-52'!J648,'POSEBNI DIO 24-52'!J674,'POSEBNI DIO 24-52'!J733,'POSEBNI DIO 24-52'!J822,'POSEBNI DIO 24-52'!J843,'POSEBNI DIO 24-52'!J889,'POSEBNI DIO 24-52'!J81,'POSEBNI DIO 24-52'!J865,'POSEBNI DIO 24-52'!J909,)</f>
        <v>2064300</v>
      </c>
      <c r="G43" s="365">
        <f>SUM('POSEBNI DIO 24-52'!K136,'POSEBNI DIO 24-52'!K160,'POSEBNI DIO 24-52'!K389,'POSEBNI DIO 24-52'!K494,'POSEBNI DIO 24-52'!K552,'POSEBNI DIO 24-52'!K585,'POSEBNI DIO 24-52'!K627,'POSEBNI DIO 24-52'!K648,'POSEBNI DIO 24-52'!K674,'POSEBNI DIO 24-52'!K733,'POSEBNI DIO 24-52'!K822,'POSEBNI DIO 24-52'!K843,'POSEBNI DIO 24-52'!K889,'POSEBNI DIO 24-52'!K81,'POSEBNI DIO 24-52'!K865,'POSEBNI DIO 24-52'!K909,)</f>
        <v>0</v>
      </c>
      <c r="H43" s="365">
        <f>SUM('POSEBNI DIO 24-52'!L136,'POSEBNI DIO 24-52'!L160,'POSEBNI DIO 24-52'!L389,'POSEBNI DIO 24-52'!L494,'POSEBNI DIO 24-52'!L552,'POSEBNI DIO 24-52'!L585,'POSEBNI DIO 24-52'!L627,'POSEBNI DIO 24-52'!L648,'POSEBNI DIO 24-52'!L674,'POSEBNI DIO 24-52'!L733,'POSEBNI DIO 24-52'!L822,'POSEBNI DIO 24-52'!L843,'POSEBNI DIO 24-52'!L889,'POSEBNI DIO 24-52'!L81,'POSEBNI DIO 24-52'!L865,'POSEBNI DIO 24-52'!L909,)</f>
        <v>0</v>
      </c>
      <c r="I43" s="365">
        <f>SUM('POSEBNI DIO 24-52'!M136,'POSEBNI DIO 24-52'!M160,'POSEBNI DIO 24-52'!M389,'POSEBNI DIO 24-52'!M494,'POSEBNI DIO 24-52'!M552,'POSEBNI DIO 24-52'!M585,'POSEBNI DIO 24-52'!M627,'POSEBNI DIO 24-52'!M648,'POSEBNI DIO 24-52'!M674,'POSEBNI DIO 24-52'!M733,'POSEBNI DIO 24-52'!M822,'POSEBNI DIO 24-52'!M843,'POSEBNI DIO 24-52'!M889,'POSEBNI DIO 24-52'!M81,'POSEBNI DIO 24-52'!M865,'POSEBNI DIO 24-52'!M909,)</f>
        <v>0</v>
      </c>
      <c r="J43" s="365">
        <f>SUM('POSEBNI DIO 24-52'!N136,'POSEBNI DIO 24-52'!N160,'POSEBNI DIO 24-52'!N389,'POSEBNI DIO 24-52'!N494,'POSEBNI DIO 24-52'!N552,'POSEBNI DIO 24-52'!N585,'POSEBNI DIO 24-52'!N627,'POSEBNI DIO 24-52'!N648,'POSEBNI DIO 24-52'!N674,'POSEBNI DIO 24-52'!N733,'POSEBNI DIO 24-52'!N822,'POSEBNI DIO 24-52'!N843,'POSEBNI DIO 24-52'!N889,'POSEBNI DIO 24-52'!N81,'POSEBNI DIO 24-52'!N865,'POSEBNI DIO 24-52'!N909,)</f>
        <v>0</v>
      </c>
      <c r="K43" s="365">
        <f>SUM('POSEBNI DIO 24-52'!O136,'POSEBNI DIO 24-52'!O160,'POSEBNI DIO 24-52'!O389,'POSEBNI DIO 24-52'!O494,'POSEBNI DIO 24-52'!O552,'POSEBNI DIO 24-52'!O585,'POSEBNI DIO 24-52'!O627,'POSEBNI DIO 24-52'!O648,'POSEBNI DIO 24-52'!O674,'POSEBNI DIO 24-52'!O733,'POSEBNI DIO 24-52'!O822,'POSEBNI DIO 24-52'!O843,'POSEBNI DIO 24-52'!O889,'POSEBNI DIO 24-52'!O81,'POSEBNI DIO 24-52'!O865,'POSEBNI DIO 24-52'!O909,)</f>
        <v>2064300</v>
      </c>
      <c r="L43" s="365">
        <f>SUM('POSEBNI DIO 24-52'!P136,'POSEBNI DIO 24-52'!P160,'POSEBNI DIO 24-52'!P389,'POSEBNI DIO 24-52'!P494,'POSEBNI DIO 24-52'!P552,'POSEBNI DIO 24-52'!P585,'POSEBNI DIO 24-52'!P627,'POSEBNI DIO 24-52'!P648,'POSEBNI DIO 24-52'!P674,'POSEBNI DIO 24-52'!P733,'POSEBNI DIO 24-52'!P822,'POSEBNI DIO 24-52'!P843,'POSEBNI DIO 24-52'!P889,'POSEBNI DIO 24-52'!P81,'POSEBNI DIO 24-52'!P865,'POSEBNI DIO 24-52'!P909,)</f>
        <v>2064300</v>
      </c>
    </row>
    <row r="44" spans="1:12" ht="31.5" customHeight="1">
      <c r="A44" s="292">
        <v>611200</v>
      </c>
      <c r="B44" s="293" t="s">
        <v>485</v>
      </c>
      <c r="C44" s="815">
        <f>SUM('POSEBNI DIO 24-52'!G249,'POSEBNI DIO 24-52'!G278,'POSEBNI DIO 24-52'!G306,'POSEBNI DIO 24-52'!G333,)</f>
        <v>219000</v>
      </c>
      <c r="D44" s="815">
        <f>SUM('POSEBNI DIO 24-52'!H249,'POSEBNI DIO 24-52'!H278,'POSEBNI DIO 24-52'!H306,'POSEBNI DIO 24-52'!H333,)</f>
        <v>0</v>
      </c>
      <c r="E44" s="815">
        <f>SUM('POSEBNI DIO 24-52'!I249,'POSEBNI DIO 24-52'!I278,'POSEBNI DIO 24-52'!I306,'POSEBNI DIO 24-52'!I333,)</f>
        <v>0</v>
      </c>
      <c r="F44" s="815">
        <f>SUM('POSEBNI DIO 24-52'!J249,'POSEBNI DIO 24-52'!J278,'POSEBNI DIO 24-52'!J306,'POSEBNI DIO 24-52'!J333,)</f>
        <v>219000</v>
      </c>
      <c r="G44" s="815">
        <f>SUM('POSEBNI DIO 24-52'!K249,'POSEBNI DIO 24-52'!K278,'POSEBNI DIO 24-52'!K306,'POSEBNI DIO 24-52'!K333,)</f>
        <v>452730</v>
      </c>
      <c r="H44" s="815">
        <f>SUM('POSEBNI DIO 24-52'!L249,'POSEBNI DIO 24-52'!L278,'POSEBNI DIO 24-52'!L306,'POSEBNI DIO 24-52'!L333,)</f>
        <v>0</v>
      </c>
      <c r="I44" s="815">
        <f>SUM('POSEBNI DIO 24-52'!M249,'POSEBNI DIO 24-52'!M278,'POSEBNI DIO 24-52'!M306,'POSEBNI DIO 24-52'!M333,)</f>
        <v>0</v>
      </c>
      <c r="J44" s="815">
        <f>SUM('POSEBNI DIO 24-52'!N249,'POSEBNI DIO 24-52'!N278,'POSEBNI DIO 24-52'!N306,'POSEBNI DIO 24-52'!N333,)</f>
        <v>452730</v>
      </c>
      <c r="K44" s="815">
        <f>SUM('POSEBNI DIO 24-52'!O249,'POSEBNI DIO 24-52'!O278,'POSEBNI DIO 24-52'!O306,'POSEBNI DIO 24-52'!O333,)</f>
        <v>671730</v>
      </c>
      <c r="L44" s="815">
        <f>SUM('POSEBNI DIO 24-52'!P249,'POSEBNI DIO 24-52'!P278,'POSEBNI DIO 24-52'!P306,'POSEBNI DIO 24-52'!P333,)</f>
        <v>671730</v>
      </c>
    </row>
    <row r="45" spans="1:12" ht="33" customHeight="1">
      <c r="A45" s="300"/>
      <c r="B45" s="301" t="s">
        <v>881</v>
      </c>
      <c r="C45" s="271">
        <f aca="true" t="shared" si="21" ref="C45:L45">SUM(C43:C44)</f>
        <v>2283300</v>
      </c>
      <c r="D45" s="271">
        <f t="shared" si="21"/>
        <v>0</v>
      </c>
      <c r="E45" s="271">
        <f t="shared" si="21"/>
        <v>0</v>
      </c>
      <c r="F45" s="271">
        <f t="shared" si="21"/>
        <v>2283300</v>
      </c>
      <c r="G45" s="271">
        <f t="shared" si="21"/>
        <v>452730</v>
      </c>
      <c r="H45" s="271">
        <f t="shared" si="21"/>
        <v>0</v>
      </c>
      <c r="I45" s="271">
        <f t="shared" si="21"/>
        <v>0</v>
      </c>
      <c r="J45" s="271">
        <f t="shared" si="21"/>
        <v>452730</v>
      </c>
      <c r="K45" s="271">
        <f t="shared" si="21"/>
        <v>2736030</v>
      </c>
      <c r="L45" s="271">
        <f t="shared" si="21"/>
        <v>2736030</v>
      </c>
    </row>
    <row r="46" spans="1:12" ht="39" customHeight="1">
      <c r="A46" s="296">
        <v>612000</v>
      </c>
      <c r="B46" s="297" t="s">
        <v>38</v>
      </c>
      <c r="C46" s="291"/>
      <c r="D46" s="291"/>
      <c r="E46" s="291"/>
      <c r="F46" s="291"/>
      <c r="G46" s="291"/>
      <c r="H46" s="291"/>
      <c r="I46" s="291"/>
      <c r="J46" s="291"/>
      <c r="K46" s="291"/>
      <c r="L46" s="291"/>
    </row>
    <row r="47" spans="1:12" ht="24" customHeight="1">
      <c r="A47" s="292">
        <v>612000</v>
      </c>
      <c r="B47" s="302" t="s">
        <v>429</v>
      </c>
      <c r="C47" s="303">
        <f>SUM('POSEBNI DIO 24-52'!G137,'POSEBNI DIO 24-52'!G161,'POSEBNI DIO 24-52'!G553,'POSEBNI DIO 24-52'!G586,'POSEBNI DIO 24-52'!G628,'POSEBNI DIO 24-52'!G649,'POSEBNI DIO 24-52'!G675,'POSEBNI DIO 24-52'!G734,'POSEBNI DIO 24-52'!G823,'POSEBNI DIO 24-52'!G844,'POSEBNI DIO 24-52'!G390,'POSEBNI DIO 24-52'!G495,'POSEBNI DIO 24-52'!G890,'POSEBNI DIO 24-52'!G82,'POSEBNI DIO 24-52'!G866,'POSEBNI DIO 24-52'!G910,)</f>
        <v>1148800</v>
      </c>
      <c r="D47" s="303">
        <f>SUM('POSEBNI DIO 24-52'!H137,'POSEBNI DIO 24-52'!H161,'POSEBNI DIO 24-52'!H553,'POSEBNI DIO 24-52'!H586,'POSEBNI DIO 24-52'!H628,'POSEBNI DIO 24-52'!H649,'POSEBNI DIO 24-52'!H675,'POSEBNI DIO 24-52'!H734,'POSEBNI DIO 24-52'!H823,'POSEBNI DIO 24-52'!H844,'POSEBNI DIO 24-52'!H390,'POSEBNI DIO 24-52'!H495,'POSEBNI DIO 24-52'!H890,'POSEBNI DIO 24-52'!H82,'POSEBNI DIO 24-52'!H866,'POSEBNI DIO 24-52'!H910,)</f>
        <v>0</v>
      </c>
      <c r="E47" s="303">
        <f>SUM('POSEBNI DIO 24-52'!I137,'POSEBNI DIO 24-52'!I161,'POSEBNI DIO 24-52'!I553,'POSEBNI DIO 24-52'!I586,'POSEBNI DIO 24-52'!I628,'POSEBNI DIO 24-52'!I649,'POSEBNI DIO 24-52'!I675,'POSEBNI DIO 24-52'!I734,'POSEBNI DIO 24-52'!I823,'POSEBNI DIO 24-52'!I844,'POSEBNI DIO 24-52'!I390,'POSEBNI DIO 24-52'!I495,'POSEBNI DIO 24-52'!I890,'POSEBNI DIO 24-52'!I82,'POSEBNI DIO 24-52'!I866,'POSEBNI DIO 24-52'!I910,)</f>
        <v>0</v>
      </c>
      <c r="F47" s="303">
        <f>SUM('POSEBNI DIO 24-52'!J137,'POSEBNI DIO 24-52'!J161,'POSEBNI DIO 24-52'!J553,'POSEBNI DIO 24-52'!J586,'POSEBNI DIO 24-52'!J628,'POSEBNI DIO 24-52'!J649,'POSEBNI DIO 24-52'!J675,'POSEBNI DIO 24-52'!J734,'POSEBNI DIO 24-52'!J823,'POSEBNI DIO 24-52'!J844,'POSEBNI DIO 24-52'!J390,'POSEBNI DIO 24-52'!J495,'POSEBNI DIO 24-52'!J890,'POSEBNI DIO 24-52'!J82,'POSEBNI DIO 24-52'!J866,'POSEBNI DIO 24-52'!J910,)</f>
        <v>1148800</v>
      </c>
      <c r="G47" s="303">
        <f>SUM('POSEBNI DIO 24-52'!K137,'POSEBNI DIO 24-52'!K161,'POSEBNI DIO 24-52'!K553,'POSEBNI DIO 24-52'!K586,'POSEBNI DIO 24-52'!K628,'POSEBNI DIO 24-52'!K649,'POSEBNI DIO 24-52'!K675,'POSEBNI DIO 24-52'!K734,'POSEBNI DIO 24-52'!K823,'POSEBNI DIO 24-52'!K844,'POSEBNI DIO 24-52'!K390,'POSEBNI DIO 24-52'!K495,'POSEBNI DIO 24-52'!K890,'POSEBNI DIO 24-52'!K82,'POSEBNI DIO 24-52'!K866,'POSEBNI DIO 24-52'!K910,)</f>
        <v>0</v>
      </c>
      <c r="H47" s="303">
        <f>SUM('POSEBNI DIO 24-52'!L137,'POSEBNI DIO 24-52'!L161,'POSEBNI DIO 24-52'!L553,'POSEBNI DIO 24-52'!L586,'POSEBNI DIO 24-52'!L628,'POSEBNI DIO 24-52'!L649,'POSEBNI DIO 24-52'!L675,'POSEBNI DIO 24-52'!L734,'POSEBNI DIO 24-52'!L823,'POSEBNI DIO 24-52'!L844,'POSEBNI DIO 24-52'!L390,'POSEBNI DIO 24-52'!L495,'POSEBNI DIO 24-52'!L890,'POSEBNI DIO 24-52'!L82,'POSEBNI DIO 24-52'!L866,'POSEBNI DIO 24-52'!L910,)</f>
        <v>0</v>
      </c>
      <c r="I47" s="303">
        <f>SUM('POSEBNI DIO 24-52'!M137,'POSEBNI DIO 24-52'!M161,'POSEBNI DIO 24-52'!M553,'POSEBNI DIO 24-52'!M586,'POSEBNI DIO 24-52'!M628,'POSEBNI DIO 24-52'!M649,'POSEBNI DIO 24-52'!M675,'POSEBNI DIO 24-52'!M734,'POSEBNI DIO 24-52'!M823,'POSEBNI DIO 24-52'!M844,'POSEBNI DIO 24-52'!M390,'POSEBNI DIO 24-52'!M495,'POSEBNI DIO 24-52'!M890,'POSEBNI DIO 24-52'!M82,'POSEBNI DIO 24-52'!M866,'POSEBNI DIO 24-52'!M910,)</f>
        <v>0</v>
      </c>
      <c r="J47" s="303">
        <f>SUM('POSEBNI DIO 24-52'!N137,'POSEBNI DIO 24-52'!N161,'POSEBNI DIO 24-52'!N553,'POSEBNI DIO 24-52'!N586,'POSEBNI DIO 24-52'!N628,'POSEBNI DIO 24-52'!N649,'POSEBNI DIO 24-52'!N675,'POSEBNI DIO 24-52'!N734,'POSEBNI DIO 24-52'!N823,'POSEBNI DIO 24-52'!N844,'POSEBNI DIO 24-52'!N390,'POSEBNI DIO 24-52'!N495,'POSEBNI DIO 24-52'!N890,'POSEBNI DIO 24-52'!N82,'POSEBNI DIO 24-52'!N866,'POSEBNI DIO 24-52'!N910,)</f>
        <v>0</v>
      </c>
      <c r="K47" s="303">
        <f>SUM('POSEBNI DIO 24-52'!O137,'POSEBNI DIO 24-52'!O161,'POSEBNI DIO 24-52'!O553,'POSEBNI DIO 24-52'!O586,'POSEBNI DIO 24-52'!O628,'POSEBNI DIO 24-52'!O649,'POSEBNI DIO 24-52'!O675,'POSEBNI DIO 24-52'!O734,'POSEBNI DIO 24-52'!O823,'POSEBNI DIO 24-52'!O844,'POSEBNI DIO 24-52'!O390,'POSEBNI DIO 24-52'!O495,'POSEBNI DIO 24-52'!O890,'POSEBNI DIO 24-52'!O82,'POSEBNI DIO 24-52'!O866,'POSEBNI DIO 24-52'!O910,)</f>
        <v>1148800</v>
      </c>
      <c r="L47" s="303">
        <f>SUM('POSEBNI DIO 24-52'!P137,'POSEBNI DIO 24-52'!P161,'POSEBNI DIO 24-52'!P553,'POSEBNI DIO 24-52'!P586,'POSEBNI DIO 24-52'!P628,'POSEBNI DIO 24-52'!P649,'POSEBNI DIO 24-52'!P675,'POSEBNI DIO 24-52'!P734,'POSEBNI DIO 24-52'!P823,'POSEBNI DIO 24-52'!P844,'POSEBNI DIO 24-52'!P390,'POSEBNI DIO 24-52'!P495,'POSEBNI DIO 24-52'!P890,'POSEBNI DIO 24-52'!P82,'POSEBNI DIO 24-52'!P866,'POSEBNI DIO 24-52'!P910,)</f>
        <v>1148800</v>
      </c>
    </row>
    <row r="48" spans="1:12" ht="31.5" customHeight="1">
      <c r="A48" s="292">
        <v>612000</v>
      </c>
      <c r="B48" s="302" t="s">
        <v>486</v>
      </c>
      <c r="C48" s="321">
        <f>SUM('POSEBNI DIO 24-52'!G250,'POSEBNI DIO 24-52'!G279,'POSEBNI DIO 24-52'!G307,'POSEBNI DIO 24-52'!G334,)</f>
        <v>154500</v>
      </c>
      <c r="D48" s="321">
        <f>SUM('POSEBNI DIO 24-52'!H250,'POSEBNI DIO 24-52'!H279,'POSEBNI DIO 24-52'!H307,'POSEBNI DIO 24-52'!H334,)</f>
        <v>3000</v>
      </c>
      <c r="E48" s="321">
        <f>SUM('POSEBNI DIO 24-52'!I250,'POSEBNI DIO 24-52'!I279,'POSEBNI DIO 24-52'!I307,'POSEBNI DIO 24-52'!I334,)</f>
        <v>0</v>
      </c>
      <c r="F48" s="321">
        <f>SUM('POSEBNI DIO 24-52'!J250,'POSEBNI DIO 24-52'!J279,'POSEBNI DIO 24-52'!J307,'POSEBNI DIO 24-52'!J334,)</f>
        <v>157500</v>
      </c>
      <c r="G48" s="321">
        <f>SUM('POSEBNI DIO 24-52'!K250,'POSEBNI DIO 24-52'!K279,'POSEBNI DIO 24-52'!K307,'POSEBNI DIO 24-52'!K334,)</f>
        <v>271400</v>
      </c>
      <c r="H48" s="321">
        <f>SUM('POSEBNI DIO 24-52'!L250,'POSEBNI DIO 24-52'!L279,'POSEBNI DIO 24-52'!L307,'POSEBNI DIO 24-52'!L334,)</f>
        <v>0</v>
      </c>
      <c r="I48" s="321">
        <f>SUM('POSEBNI DIO 24-52'!M250,'POSEBNI DIO 24-52'!M279,'POSEBNI DIO 24-52'!M307,'POSEBNI DIO 24-52'!M334,)</f>
        <v>0</v>
      </c>
      <c r="J48" s="321">
        <f>SUM('POSEBNI DIO 24-52'!N250,'POSEBNI DIO 24-52'!N279,'POSEBNI DIO 24-52'!N307,'POSEBNI DIO 24-52'!N334,)</f>
        <v>271400</v>
      </c>
      <c r="K48" s="321">
        <f>SUM('POSEBNI DIO 24-52'!O250,'POSEBNI DIO 24-52'!O279,'POSEBNI DIO 24-52'!O307,'POSEBNI DIO 24-52'!O334,)</f>
        <v>425900</v>
      </c>
      <c r="L48" s="321">
        <f>SUM('POSEBNI DIO 24-52'!P250,'POSEBNI DIO 24-52'!P279,'POSEBNI DIO 24-52'!P307,'POSEBNI DIO 24-52'!P334,)</f>
        <v>428900</v>
      </c>
    </row>
    <row r="49" spans="1:12" ht="33" customHeight="1">
      <c r="A49" s="300"/>
      <c r="B49" s="304" t="s">
        <v>882</v>
      </c>
      <c r="C49" s="271">
        <f aca="true" t="shared" si="22" ref="C49:L49">SUM(C47:C48,)</f>
        <v>1303300</v>
      </c>
      <c r="D49" s="271">
        <f t="shared" si="22"/>
        <v>3000</v>
      </c>
      <c r="E49" s="271">
        <f t="shared" si="22"/>
        <v>0</v>
      </c>
      <c r="F49" s="271">
        <f t="shared" si="22"/>
        <v>1306300</v>
      </c>
      <c r="G49" s="271">
        <f t="shared" si="22"/>
        <v>271400</v>
      </c>
      <c r="H49" s="271">
        <f t="shared" si="22"/>
        <v>0</v>
      </c>
      <c r="I49" s="271">
        <f t="shared" si="22"/>
        <v>0</v>
      </c>
      <c r="J49" s="271">
        <f t="shared" si="22"/>
        <v>271400</v>
      </c>
      <c r="K49" s="271">
        <f t="shared" si="22"/>
        <v>1574700</v>
      </c>
      <c r="L49" s="271">
        <f t="shared" si="22"/>
        <v>1577700</v>
      </c>
    </row>
    <row r="50" spans="1:12" ht="37.5" customHeight="1">
      <c r="A50" s="296">
        <v>613000</v>
      </c>
      <c r="B50" s="297" t="s">
        <v>519</v>
      </c>
      <c r="C50" s="291"/>
      <c r="D50" s="291"/>
      <c r="E50" s="291"/>
      <c r="F50" s="291"/>
      <c r="G50" s="291"/>
      <c r="H50" s="291"/>
      <c r="I50" s="291"/>
      <c r="J50" s="291"/>
      <c r="K50" s="291"/>
      <c r="L50" s="291"/>
    </row>
    <row r="51" spans="1:12" ht="30" customHeight="1">
      <c r="A51" s="305">
        <v>613100</v>
      </c>
      <c r="B51" s="306" t="s">
        <v>113</v>
      </c>
      <c r="C51" s="274">
        <f>SUM('POSEBNI DIO 24-52'!G44,'POSEBNI DIO 24-52'!G62,'POSEBNI DIO 24-52'!G138,'POSEBNI DIO 24-52'!G162,'POSEBNI DIO 24-52'!G251,'POSEBNI DIO 24-52'!G280,'POSEBNI DIO 24-52'!G308,'POSEBNI DIO 24-52'!G391,'POSEBNI DIO 24-52'!G554,'POSEBNI DIO 24-52'!G587,'POSEBNI DIO 24-52'!G629,'POSEBNI DIO 24-52'!G650,'POSEBNI DIO 24-52'!G676,'POSEBNI DIO 24-52'!G735,'POSEBNI DIO 24-52'!G824,'POSEBNI DIO 24-52'!G845,'POSEBNI DIO 24-52'!G891,'POSEBNI DIO 24-52'!G83,'POSEBNI DIO 24-52'!G867,'POSEBNI DIO 24-52'!G335,'POSEBNI DIO 24-52'!G911,'POSEBNI DIO 24-52'!G807,)</f>
        <v>65800</v>
      </c>
      <c r="D51" s="274">
        <f>SUM('POSEBNI DIO 24-52'!H44,'POSEBNI DIO 24-52'!H62,'POSEBNI DIO 24-52'!H138,'POSEBNI DIO 24-52'!H162,'POSEBNI DIO 24-52'!H251,'POSEBNI DIO 24-52'!H280,'POSEBNI DIO 24-52'!H308,'POSEBNI DIO 24-52'!H391,'POSEBNI DIO 24-52'!H554,'POSEBNI DIO 24-52'!H587,'POSEBNI DIO 24-52'!H629,'POSEBNI DIO 24-52'!H650,'POSEBNI DIO 24-52'!H676,'POSEBNI DIO 24-52'!H735,'POSEBNI DIO 24-52'!H824,'POSEBNI DIO 24-52'!H845,'POSEBNI DIO 24-52'!H891,'POSEBNI DIO 24-52'!H83,'POSEBNI DIO 24-52'!H867,'POSEBNI DIO 24-52'!H335,'POSEBNI DIO 24-52'!H911,'POSEBNI DIO 24-52'!H807,)</f>
        <v>0</v>
      </c>
      <c r="E51" s="274">
        <f>SUM('POSEBNI DIO 24-52'!I44,'POSEBNI DIO 24-52'!I62,'POSEBNI DIO 24-52'!I138,'POSEBNI DIO 24-52'!I162,'POSEBNI DIO 24-52'!I251,'POSEBNI DIO 24-52'!I280,'POSEBNI DIO 24-52'!I308,'POSEBNI DIO 24-52'!I391,'POSEBNI DIO 24-52'!I554,'POSEBNI DIO 24-52'!I587,'POSEBNI DIO 24-52'!I629,'POSEBNI DIO 24-52'!I650,'POSEBNI DIO 24-52'!I676,'POSEBNI DIO 24-52'!I735,'POSEBNI DIO 24-52'!I824,'POSEBNI DIO 24-52'!I845,'POSEBNI DIO 24-52'!I891,'POSEBNI DIO 24-52'!I83,'POSEBNI DIO 24-52'!I867,'POSEBNI DIO 24-52'!I335,'POSEBNI DIO 24-52'!I911,'POSEBNI DIO 24-52'!I807,)</f>
        <v>3000</v>
      </c>
      <c r="F51" s="274">
        <f>SUM('POSEBNI DIO 24-52'!J44,'POSEBNI DIO 24-52'!J62,'POSEBNI DIO 24-52'!J138,'POSEBNI DIO 24-52'!J162,'POSEBNI DIO 24-52'!J251,'POSEBNI DIO 24-52'!J280,'POSEBNI DIO 24-52'!J308,'POSEBNI DIO 24-52'!J391,'POSEBNI DIO 24-52'!J554,'POSEBNI DIO 24-52'!J587,'POSEBNI DIO 24-52'!J629,'POSEBNI DIO 24-52'!J650,'POSEBNI DIO 24-52'!J676,'POSEBNI DIO 24-52'!J735,'POSEBNI DIO 24-52'!J824,'POSEBNI DIO 24-52'!J845,'POSEBNI DIO 24-52'!J891,'POSEBNI DIO 24-52'!J83,'POSEBNI DIO 24-52'!J867,'POSEBNI DIO 24-52'!J335,'POSEBNI DIO 24-52'!J911,'POSEBNI DIO 24-52'!J807,)</f>
        <v>62800</v>
      </c>
      <c r="G51" s="274">
        <f>SUM('POSEBNI DIO 24-52'!K44,'POSEBNI DIO 24-52'!K62,'POSEBNI DIO 24-52'!K138,'POSEBNI DIO 24-52'!K162,'POSEBNI DIO 24-52'!K251,'POSEBNI DIO 24-52'!K280,'POSEBNI DIO 24-52'!K308,'POSEBNI DIO 24-52'!K391,'POSEBNI DIO 24-52'!K554,'POSEBNI DIO 24-52'!K587,'POSEBNI DIO 24-52'!K629,'POSEBNI DIO 24-52'!K650,'POSEBNI DIO 24-52'!K676,'POSEBNI DIO 24-52'!K735,'POSEBNI DIO 24-52'!K824,'POSEBNI DIO 24-52'!K845,'POSEBNI DIO 24-52'!K891,'POSEBNI DIO 24-52'!K83,'POSEBNI DIO 24-52'!K867,'POSEBNI DIO 24-52'!K335,'POSEBNI DIO 24-52'!K911,'POSEBNI DIO 24-52'!K807,)</f>
        <v>8762.99</v>
      </c>
      <c r="H51" s="274">
        <f>SUM('POSEBNI DIO 24-52'!L44,'POSEBNI DIO 24-52'!L62,'POSEBNI DIO 24-52'!L138,'POSEBNI DIO 24-52'!L162,'POSEBNI DIO 24-52'!L251,'POSEBNI DIO 24-52'!L280,'POSEBNI DIO 24-52'!L308,'POSEBNI DIO 24-52'!L391,'POSEBNI DIO 24-52'!L554,'POSEBNI DIO 24-52'!L587,'POSEBNI DIO 24-52'!L629,'POSEBNI DIO 24-52'!L650,'POSEBNI DIO 24-52'!L676,'POSEBNI DIO 24-52'!L735,'POSEBNI DIO 24-52'!L824,'POSEBNI DIO 24-52'!L845,'POSEBNI DIO 24-52'!L891,'POSEBNI DIO 24-52'!L83,'POSEBNI DIO 24-52'!L867,'POSEBNI DIO 24-52'!L335,'POSEBNI DIO 24-52'!L911,'POSEBNI DIO 24-52'!L807,)</f>
        <v>0</v>
      </c>
      <c r="I51" s="274">
        <f>SUM('POSEBNI DIO 24-52'!M44,'POSEBNI DIO 24-52'!M62,'POSEBNI DIO 24-52'!M138,'POSEBNI DIO 24-52'!M162,'POSEBNI DIO 24-52'!M251,'POSEBNI DIO 24-52'!M280,'POSEBNI DIO 24-52'!M308,'POSEBNI DIO 24-52'!M391,'POSEBNI DIO 24-52'!M554,'POSEBNI DIO 24-52'!M587,'POSEBNI DIO 24-52'!M629,'POSEBNI DIO 24-52'!M650,'POSEBNI DIO 24-52'!M676,'POSEBNI DIO 24-52'!M735,'POSEBNI DIO 24-52'!M824,'POSEBNI DIO 24-52'!M845,'POSEBNI DIO 24-52'!M891,'POSEBNI DIO 24-52'!M83,'POSEBNI DIO 24-52'!M867,'POSEBNI DIO 24-52'!M335,'POSEBNI DIO 24-52'!M911,'POSEBNI DIO 24-52'!M807,)</f>
        <v>0</v>
      </c>
      <c r="J51" s="274">
        <f>SUM('POSEBNI DIO 24-52'!N44,'POSEBNI DIO 24-52'!N62,'POSEBNI DIO 24-52'!N138,'POSEBNI DIO 24-52'!N162,'POSEBNI DIO 24-52'!N251,'POSEBNI DIO 24-52'!N280,'POSEBNI DIO 24-52'!N308,'POSEBNI DIO 24-52'!N391,'POSEBNI DIO 24-52'!N554,'POSEBNI DIO 24-52'!N587,'POSEBNI DIO 24-52'!N629,'POSEBNI DIO 24-52'!N650,'POSEBNI DIO 24-52'!N676,'POSEBNI DIO 24-52'!N735,'POSEBNI DIO 24-52'!N824,'POSEBNI DIO 24-52'!N845,'POSEBNI DIO 24-52'!N891,'POSEBNI DIO 24-52'!N83,'POSEBNI DIO 24-52'!N867,'POSEBNI DIO 24-52'!N335,'POSEBNI DIO 24-52'!N911,'POSEBNI DIO 24-52'!N807,)</f>
        <v>8762.99</v>
      </c>
      <c r="K51" s="274">
        <f>SUM('POSEBNI DIO 24-52'!O44,'POSEBNI DIO 24-52'!O62,'POSEBNI DIO 24-52'!O138,'POSEBNI DIO 24-52'!O162,'POSEBNI DIO 24-52'!O251,'POSEBNI DIO 24-52'!O280,'POSEBNI DIO 24-52'!O308,'POSEBNI DIO 24-52'!O391,'POSEBNI DIO 24-52'!O554,'POSEBNI DIO 24-52'!O587,'POSEBNI DIO 24-52'!O629,'POSEBNI DIO 24-52'!O650,'POSEBNI DIO 24-52'!O676,'POSEBNI DIO 24-52'!O735,'POSEBNI DIO 24-52'!O824,'POSEBNI DIO 24-52'!O845,'POSEBNI DIO 24-52'!O891,'POSEBNI DIO 24-52'!O83,'POSEBNI DIO 24-52'!O867,'POSEBNI DIO 24-52'!O335,'POSEBNI DIO 24-52'!O911,'POSEBNI DIO 24-52'!O807,)</f>
        <v>74562.98999999999</v>
      </c>
      <c r="L51" s="274">
        <f>SUM('POSEBNI DIO 24-52'!P44,'POSEBNI DIO 24-52'!P62,'POSEBNI DIO 24-52'!P138,'POSEBNI DIO 24-52'!P162,'POSEBNI DIO 24-52'!P251,'POSEBNI DIO 24-52'!P280,'POSEBNI DIO 24-52'!P308,'POSEBNI DIO 24-52'!P391,'POSEBNI DIO 24-52'!P554,'POSEBNI DIO 24-52'!P587,'POSEBNI DIO 24-52'!P629,'POSEBNI DIO 24-52'!P650,'POSEBNI DIO 24-52'!P676,'POSEBNI DIO 24-52'!P735,'POSEBNI DIO 24-52'!P824,'POSEBNI DIO 24-52'!P845,'POSEBNI DIO 24-52'!P891,'POSEBNI DIO 24-52'!P83,'POSEBNI DIO 24-52'!P867,'POSEBNI DIO 24-52'!P335,'POSEBNI DIO 24-52'!P911,'POSEBNI DIO 24-52'!P807,)</f>
        <v>71562.98999999999</v>
      </c>
    </row>
    <row r="52" spans="1:12" ht="31.5" customHeight="1">
      <c r="A52" s="277">
        <v>613200</v>
      </c>
      <c r="B52" s="307" t="s">
        <v>114</v>
      </c>
      <c r="C52" s="271">
        <f aca="true" t="shared" si="23" ref="C52:L52">SUM(C53:C57)</f>
        <v>2116000</v>
      </c>
      <c r="D52" s="271">
        <f t="shared" si="23"/>
        <v>1000</v>
      </c>
      <c r="E52" s="271">
        <f t="shared" si="23"/>
        <v>0</v>
      </c>
      <c r="F52" s="271">
        <f t="shared" si="23"/>
        <v>2117000</v>
      </c>
      <c r="G52" s="271">
        <f t="shared" si="23"/>
        <v>141000</v>
      </c>
      <c r="H52" s="271">
        <f t="shared" si="23"/>
        <v>0</v>
      </c>
      <c r="I52" s="271">
        <f t="shared" si="23"/>
        <v>0</v>
      </c>
      <c r="J52" s="271">
        <f t="shared" si="23"/>
        <v>141000</v>
      </c>
      <c r="K52" s="271">
        <f t="shared" si="23"/>
        <v>2257000</v>
      </c>
      <c r="L52" s="271">
        <f t="shared" si="23"/>
        <v>2258000</v>
      </c>
    </row>
    <row r="53" spans="1:12" ht="31.5" customHeight="1">
      <c r="A53" s="300">
        <v>613210</v>
      </c>
      <c r="B53" s="308" t="s">
        <v>459</v>
      </c>
      <c r="C53" s="321">
        <f>SUM('POSEBNI DIO 24-52'!G651,'POSEBNI DIO 24-52'!G677,'POSEBNI DIO 24-52'!G736,'POSEBNI DIO 24-52'!G846,'POSEBNI DIO 24-52'!G252,'POSEBNI DIO 24-52'!G281,'POSEBNI DIO 24-52'!G309,'POSEBNI DIO 24-52'!G496,'POSEBNI DIO 24-52'!G868,'POSEBNI DIO 24-52'!G336,)</f>
        <v>385000</v>
      </c>
      <c r="D53" s="321">
        <f>SUM('POSEBNI DIO 24-52'!H651,'POSEBNI DIO 24-52'!H677,'POSEBNI DIO 24-52'!H736,'POSEBNI DIO 24-52'!H846,'POSEBNI DIO 24-52'!H252,'POSEBNI DIO 24-52'!H281,'POSEBNI DIO 24-52'!H309,'POSEBNI DIO 24-52'!H496,'POSEBNI DIO 24-52'!H868,'POSEBNI DIO 24-52'!H336,)</f>
        <v>0</v>
      </c>
      <c r="E53" s="321">
        <f>SUM('POSEBNI DIO 24-52'!I651,'POSEBNI DIO 24-52'!I677,'POSEBNI DIO 24-52'!I736,'POSEBNI DIO 24-52'!I846,'POSEBNI DIO 24-52'!I252,'POSEBNI DIO 24-52'!I281,'POSEBNI DIO 24-52'!I309,'POSEBNI DIO 24-52'!I496,'POSEBNI DIO 24-52'!I868,'POSEBNI DIO 24-52'!I336,)</f>
        <v>0</v>
      </c>
      <c r="F53" s="321">
        <f>SUM('POSEBNI DIO 24-52'!J651,'POSEBNI DIO 24-52'!J677,'POSEBNI DIO 24-52'!J736,'POSEBNI DIO 24-52'!J846,'POSEBNI DIO 24-52'!J252,'POSEBNI DIO 24-52'!J281,'POSEBNI DIO 24-52'!J309,'POSEBNI DIO 24-52'!J496,'POSEBNI DIO 24-52'!J868,'POSEBNI DIO 24-52'!J336,)</f>
        <v>385000</v>
      </c>
      <c r="G53" s="321">
        <f>SUM('POSEBNI DIO 24-52'!K651,'POSEBNI DIO 24-52'!K677,'POSEBNI DIO 24-52'!K736,'POSEBNI DIO 24-52'!K846,'POSEBNI DIO 24-52'!K252,'POSEBNI DIO 24-52'!K281,'POSEBNI DIO 24-52'!K309,'POSEBNI DIO 24-52'!K496,'POSEBNI DIO 24-52'!K868,'POSEBNI DIO 24-52'!K336,)</f>
        <v>141000</v>
      </c>
      <c r="H53" s="321">
        <f>SUM('POSEBNI DIO 24-52'!L651,'POSEBNI DIO 24-52'!L677,'POSEBNI DIO 24-52'!L736,'POSEBNI DIO 24-52'!L846,'POSEBNI DIO 24-52'!L252,'POSEBNI DIO 24-52'!L281,'POSEBNI DIO 24-52'!L309,'POSEBNI DIO 24-52'!L496,'POSEBNI DIO 24-52'!L868,'POSEBNI DIO 24-52'!L336,)</f>
        <v>0</v>
      </c>
      <c r="I53" s="321">
        <f>SUM('POSEBNI DIO 24-52'!M651,'POSEBNI DIO 24-52'!M677,'POSEBNI DIO 24-52'!M736,'POSEBNI DIO 24-52'!M846,'POSEBNI DIO 24-52'!M252,'POSEBNI DIO 24-52'!M281,'POSEBNI DIO 24-52'!M309,'POSEBNI DIO 24-52'!M496,'POSEBNI DIO 24-52'!M868,'POSEBNI DIO 24-52'!M336,)</f>
        <v>0</v>
      </c>
      <c r="J53" s="321">
        <f>SUM('POSEBNI DIO 24-52'!N651,'POSEBNI DIO 24-52'!N677,'POSEBNI DIO 24-52'!N736,'POSEBNI DIO 24-52'!N846,'POSEBNI DIO 24-52'!N252,'POSEBNI DIO 24-52'!N281,'POSEBNI DIO 24-52'!N309,'POSEBNI DIO 24-52'!N496,'POSEBNI DIO 24-52'!N868,'POSEBNI DIO 24-52'!N336,)</f>
        <v>141000</v>
      </c>
      <c r="K53" s="321">
        <f>SUM('POSEBNI DIO 24-52'!O651,'POSEBNI DIO 24-52'!O677,'POSEBNI DIO 24-52'!O736,'POSEBNI DIO 24-52'!O846,'POSEBNI DIO 24-52'!O252,'POSEBNI DIO 24-52'!O281,'POSEBNI DIO 24-52'!O309,'POSEBNI DIO 24-52'!O496,'POSEBNI DIO 24-52'!O868,'POSEBNI DIO 24-52'!O336,)</f>
        <v>526000</v>
      </c>
      <c r="L53" s="321">
        <f>SUM('POSEBNI DIO 24-52'!P651,'POSEBNI DIO 24-52'!P677,'POSEBNI DIO 24-52'!P736,'POSEBNI DIO 24-52'!P846,'POSEBNI DIO 24-52'!P252,'POSEBNI DIO 24-52'!P281,'POSEBNI DIO 24-52'!P309,'POSEBNI DIO 24-52'!P496,'POSEBNI DIO 24-52'!P868,'POSEBNI DIO 24-52'!P336,)</f>
        <v>526000</v>
      </c>
    </row>
    <row r="54" spans="1:12" ht="31.5" customHeight="1">
      <c r="A54" s="300">
        <v>613210</v>
      </c>
      <c r="B54" s="308" t="s">
        <v>460</v>
      </c>
      <c r="C54" s="321">
        <f>SUM('POSEBNI DIO 24-52'!G408,)</f>
        <v>1700000</v>
      </c>
      <c r="D54" s="321">
        <f>SUM('POSEBNI DIO 24-52'!H408,)</f>
        <v>0</v>
      </c>
      <c r="E54" s="321">
        <f>SUM('POSEBNI DIO 24-52'!I408,)</f>
        <v>0</v>
      </c>
      <c r="F54" s="321">
        <f>SUM('POSEBNI DIO 24-52'!J408,)</f>
        <v>1700000</v>
      </c>
      <c r="G54" s="321">
        <f>SUM('POSEBNI DIO 24-52'!K408,)</f>
        <v>0</v>
      </c>
      <c r="H54" s="321">
        <f>SUM('POSEBNI DIO 24-52'!L408,)</f>
        <v>0</v>
      </c>
      <c r="I54" s="321">
        <f>SUM('POSEBNI DIO 24-52'!M408,)</f>
        <v>0</v>
      </c>
      <c r="J54" s="321">
        <f>SUM('POSEBNI DIO 24-52'!N408,)</f>
        <v>0</v>
      </c>
      <c r="K54" s="321">
        <f>SUM('POSEBNI DIO 24-52'!O408,)</f>
        <v>1700000</v>
      </c>
      <c r="L54" s="321">
        <f>SUM('POSEBNI DIO 24-52'!P408,)</f>
        <v>1700000</v>
      </c>
    </row>
    <row r="55" spans="1:12" ht="31.5" customHeight="1">
      <c r="A55" s="300">
        <v>613210</v>
      </c>
      <c r="B55" s="308" t="s">
        <v>699</v>
      </c>
      <c r="C55" s="321">
        <f>SUM('POSEBNI DIO 24-52'!G446,'POSEBNI DIO 24-52'!G409,)</f>
        <v>20000</v>
      </c>
      <c r="D55" s="321">
        <f>SUM('POSEBNI DIO 24-52'!H446,'POSEBNI DIO 24-52'!H409,)</f>
        <v>0</v>
      </c>
      <c r="E55" s="321">
        <f>SUM('POSEBNI DIO 24-52'!I446,'POSEBNI DIO 24-52'!I409,)</f>
        <v>0</v>
      </c>
      <c r="F55" s="321">
        <f>SUM('POSEBNI DIO 24-52'!J446,'POSEBNI DIO 24-52'!J409,)</f>
        <v>20000</v>
      </c>
      <c r="G55" s="321">
        <f>SUM('POSEBNI DIO 24-52'!K446,'POSEBNI DIO 24-52'!K409,)</f>
        <v>0</v>
      </c>
      <c r="H55" s="321">
        <f>SUM('POSEBNI DIO 24-52'!L446,'POSEBNI DIO 24-52'!L409,)</f>
        <v>0</v>
      </c>
      <c r="I55" s="321">
        <f>SUM('POSEBNI DIO 24-52'!M446,'POSEBNI DIO 24-52'!M409,)</f>
        <v>0</v>
      </c>
      <c r="J55" s="321">
        <f>SUM('POSEBNI DIO 24-52'!N446,'POSEBNI DIO 24-52'!N409,)</f>
        <v>0</v>
      </c>
      <c r="K55" s="321">
        <f>SUM('POSEBNI DIO 24-52'!O446,'POSEBNI DIO 24-52'!O409,)</f>
        <v>20000</v>
      </c>
      <c r="L55" s="321">
        <f>SUM('POSEBNI DIO 24-52'!P446,'POSEBNI DIO 24-52'!P409,)</f>
        <v>20000</v>
      </c>
    </row>
    <row r="56" spans="1:12" ht="31.5" customHeight="1">
      <c r="A56" s="300">
        <v>613210</v>
      </c>
      <c r="B56" s="308" t="s">
        <v>73</v>
      </c>
      <c r="C56" s="321">
        <f>SUM('POSEBNI DIO 24-52'!G608,'POSEBNI DIO 24-52'!G233,)</f>
        <v>10000</v>
      </c>
      <c r="D56" s="321">
        <f>SUM('POSEBNI DIO 24-52'!H608,'POSEBNI DIO 24-52'!H233,)</f>
        <v>0</v>
      </c>
      <c r="E56" s="321">
        <f>SUM('POSEBNI DIO 24-52'!I608,'POSEBNI DIO 24-52'!I233,)</f>
        <v>0</v>
      </c>
      <c r="F56" s="321">
        <f>SUM('POSEBNI DIO 24-52'!J608,'POSEBNI DIO 24-52'!J233,)</f>
        <v>10000</v>
      </c>
      <c r="G56" s="321">
        <f>SUM('POSEBNI DIO 24-52'!K608,'POSEBNI DIO 24-52'!K233,)</f>
        <v>0</v>
      </c>
      <c r="H56" s="321">
        <f>SUM('POSEBNI DIO 24-52'!L608,'POSEBNI DIO 24-52'!L233,)</f>
        <v>0</v>
      </c>
      <c r="I56" s="321">
        <f>SUM('POSEBNI DIO 24-52'!M608,'POSEBNI DIO 24-52'!M233,)</f>
        <v>0</v>
      </c>
      <c r="J56" s="321">
        <f>SUM('POSEBNI DIO 24-52'!N608,'POSEBNI DIO 24-52'!N233,)</f>
        <v>0</v>
      </c>
      <c r="K56" s="321">
        <f>SUM('POSEBNI DIO 24-52'!O608,'POSEBNI DIO 24-52'!O233,)</f>
        <v>10000</v>
      </c>
      <c r="L56" s="321">
        <f>SUM('POSEBNI DIO 24-52'!P608,'POSEBNI DIO 24-52'!P233,)</f>
        <v>10000</v>
      </c>
    </row>
    <row r="57" spans="1:12" ht="31.5" customHeight="1">
      <c r="A57" s="300">
        <v>613210</v>
      </c>
      <c r="B57" s="308" t="s">
        <v>72</v>
      </c>
      <c r="C57" s="321">
        <f>SUM('POSEBNI DIO 24-52'!G711,)</f>
        <v>1000</v>
      </c>
      <c r="D57" s="321">
        <f>SUM('POSEBNI DIO 24-52'!H711,)</f>
        <v>1000</v>
      </c>
      <c r="E57" s="321">
        <f>SUM('POSEBNI DIO 24-52'!I711,)</f>
        <v>0</v>
      </c>
      <c r="F57" s="321">
        <f>SUM('POSEBNI DIO 24-52'!J711,)</f>
        <v>2000</v>
      </c>
      <c r="G57" s="321">
        <f>SUM('POSEBNI DIO 24-52'!K711,)</f>
        <v>0</v>
      </c>
      <c r="H57" s="321">
        <f>SUM('POSEBNI DIO 24-52'!L711,)</f>
        <v>0</v>
      </c>
      <c r="I57" s="321">
        <f>SUM('POSEBNI DIO 24-52'!M711,)</f>
        <v>0</v>
      </c>
      <c r="J57" s="321">
        <f>SUM('POSEBNI DIO 24-52'!N711,)</f>
        <v>0</v>
      </c>
      <c r="K57" s="321">
        <f>SUM('POSEBNI DIO 24-52'!O711,)</f>
        <v>1000</v>
      </c>
      <c r="L57" s="321">
        <f>SUM('POSEBNI DIO 24-52'!P711,)</f>
        <v>2000</v>
      </c>
    </row>
    <row r="58" spans="1:12" ht="33" customHeight="1">
      <c r="A58" s="277">
        <v>613300</v>
      </c>
      <c r="B58" s="270" t="s">
        <v>520</v>
      </c>
      <c r="C58" s="309">
        <f aca="true" t="shared" si="24" ref="C58:L58">SUM(C59:C66)</f>
        <v>2862541.34</v>
      </c>
      <c r="D58" s="309">
        <f t="shared" si="24"/>
        <v>1084000</v>
      </c>
      <c r="E58" s="309">
        <f t="shared" si="24"/>
        <v>1080000</v>
      </c>
      <c r="F58" s="309">
        <f>SUM(F59:F66)</f>
        <v>2866541.34</v>
      </c>
      <c r="G58" s="309">
        <f t="shared" si="24"/>
        <v>78500</v>
      </c>
      <c r="H58" s="309">
        <f t="shared" si="24"/>
        <v>0</v>
      </c>
      <c r="I58" s="309">
        <f t="shared" si="24"/>
        <v>0</v>
      </c>
      <c r="J58" s="309">
        <f t="shared" si="24"/>
        <v>78500</v>
      </c>
      <c r="K58" s="309">
        <f t="shared" si="24"/>
        <v>2941041.34</v>
      </c>
      <c r="L58" s="309">
        <f t="shared" si="24"/>
        <v>2945041.34</v>
      </c>
    </row>
    <row r="59" spans="1:12" ht="30.75" customHeight="1">
      <c r="A59" s="292">
        <v>613310</v>
      </c>
      <c r="B59" s="310" t="s">
        <v>430</v>
      </c>
      <c r="C59" s="321">
        <f>SUM('POSEBNI DIO 24-52'!G45,'POSEBNI DIO 24-52'!G63,'POSEBNI DIO 24-52'!G139,'POSEBNI DIO 24-52'!G163,'POSEBNI DIO 24-52'!G253,'POSEBNI DIO 24-52'!G282,'POSEBNI DIO 24-52'!G310,'POSEBNI DIO 24-52'!G392,'POSEBNI DIO 24-52'!G497,'POSEBNI DIO 24-52'!G555,'POSEBNI DIO 24-52'!G588,'POSEBNI DIO 24-52'!G630,'POSEBNI DIO 24-52'!G652,'POSEBNI DIO 24-52'!G678,'POSEBNI DIO 24-52'!G737,'POSEBNI DIO 24-52'!G825,'POSEBNI DIO 24-52'!G847,'POSEBNI DIO 24-52'!G84,'POSEBNI DIO 24-52'!G869,'POSEBNI DIO 24-52'!G892,'POSEBNI DIO 24-52'!G337,'POSEBNI DIO 24-52'!G912,)</f>
        <v>316231.83999999997</v>
      </c>
      <c r="D59" s="321">
        <f>SUM('POSEBNI DIO 24-52'!H45,'POSEBNI DIO 24-52'!H63,'POSEBNI DIO 24-52'!H139,'POSEBNI DIO 24-52'!H163,'POSEBNI DIO 24-52'!H253,'POSEBNI DIO 24-52'!H282,'POSEBNI DIO 24-52'!H310,'POSEBNI DIO 24-52'!H392,'POSEBNI DIO 24-52'!H497,'POSEBNI DIO 24-52'!H555,'POSEBNI DIO 24-52'!H588,'POSEBNI DIO 24-52'!H630,'POSEBNI DIO 24-52'!H652,'POSEBNI DIO 24-52'!H678,'POSEBNI DIO 24-52'!H737,'POSEBNI DIO 24-52'!H825,'POSEBNI DIO 24-52'!H847,'POSEBNI DIO 24-52'!H84,'POSEBNI DIO 24-52'!H869,'POSEBNI DIO 24-52'!H892,'POSEBNI DIO 24-52'!H337,'POSEBNI DIO 24-52'!H912,)</f>
        <v>0</v>
      </c>
      <c r="E59" s="321">
        <f>SUM('POSEBNI DIO 24-52'!I45,'POSEBNI DIO 24-52'!I63,'POSEBNI DIO 24-52'!I139,'POSEBNI DIO 24-52'!I163,'POSEBNI DIO 24-52'!I253,'POSEBNI DIO 24-52'!I282,'POSEBNI DIO 24-52'!I310,'POSEBNI DIO 24-52'!I392,'POSEBNI DIO 24-52'!I497,'POSEBNI DIO 24-52'!I555,'POSEBNI DIO 24-52'!I588,'POSEBNI DIO 24-52'!I630,'POSEBNI DIO 24-52'!I652,'POSEBNI DIO 24-52'!I678,'POSEBNI DIO 24-52'!I737,'POSEBNI DIO 24-52'!I825,'POSEBNI DIO 24-52'!I847,'POSEBNI DIO 24-52'!I84,'POSEBNI DIO 24-52'!I869,'POSEBNI DIO 24-52'!I892,'POSEBNI DIO 24-52'!I337,'POSEBNI DIO 24-52'!I912,)</f>
        <v>0</v>
      </c>
      <c r="F59" s="321">
        <f>SUM('POSEBNI DIO 24-52'!J45,'POSEBNI DIO 24-52'!J63,'POSEBNI DIO 24-52'!J139,'POSEBNI DIO 24-52'!J163,'POSEBNI DIO 24-52'!J253,'POSEBNI DIO 24-52'!J282,'POSEBNI DIO 24-52'!J310,'POSEBNI DIO 24-52'!J392,'POSEBNI DIO 24-52'!J497,'POSEBNI DIO 24-52'!J555,'POSEBNI DIO 24-52'!J588,'POSEBNI DIO 24-52'!J630,'POSEBNI DIO 24-52'!J652,'POSEBNI DIO 24-52'!J678,'POSEBNI DIO 24-52'!J737,'POSEBNI DIO 24-52'!J825,'POSEBNI DIO 24-52'!J847,'POSEBNI DIO 24-52'!J84,'POSEBNI DIO 24-52'!J869,'POSEBNI DIO 24-52'!J892,'POSEBNI DIO 24-52'!J337,'POSEBNI DIO 24-52'!J912,)</f>
        <v>316231.83999999997</v>
      </c>
      <c r="G59" s="321">
        <f>SUM('POSEBNI DIO 24-52'!K45,'POSEBNI DIO 24-52'!K63,'POSEBNI DIO 24-52'!K139,'POSEBNI DIO 24-52'!K163,'POSEBNI DIO 24-52'!K253,'POSEBNI DIO 24-52'!K282,'POSEBNI DIO 24-52'!K310,'POSEBNI DIO 24-52'!K392,'POSEBNI DIO 24-52'!K497,'POSEBNI DIO 24-52'!K555,'POSEBNI DIO 24-52'!K588,'POSEBNI DIO 24-52'!K630,'POSEBNI DIO 24-52'!K652,'POSEBNI DIO 24-52'!K678,'POSEBNI DIO 24-52'!K737,'POSEBNI DIO 24-52'!K825,'POSEBNI DIO 24-52'!K847,'POSEBNI DIO 24-52'!K84,'POSEBNI DIO 24-52'!K869,'POSEBNI DIO 24-52'!K892,'POSEBNI DIO 24-52'!K337,'POSEBNI DIO 24-52'!K912,)</f>
        <v>24500</v>
      </c>
      <c r="H59" s="321">
        <f>SUM('POSEBNI DIO 24-52'!L45,'POSEBNI DIO 24-52'!L63,'POSEBNI DIO 24-52'!L139,'POSEBNI DIO 24-52'!L163,'POSEBNI DIO 24-52'!L253,'POSEBNI DIO 24-52'!L282,'POSEBNI DIO 24-52'!L310,'POSEBNI DIO 24-52'!L392,'POSEBNI DIO 24-52'!L497,'POSEBNI DIO 24-52'!L555,'POSEBNI DIO 24-52'!L588,'POSEBNI DIO 24-52'!L630,'POSEBNI DIO 24-52'!L652,'POSEBNI DIO 24-52'!L678,'POSEBNI DIO 24-52'!L737,'POSEBNI DIO 24-52'!L825,'POSEBNI DIO 24-52'!L847,'POSEBNI DIO 24-52'!L84,'POSEBNI DIO 24-52'!L869,'POSEBNI DIO 24-52'!L892,'POSEBNI DIO 24-52'!L337,'POSEBNI DIO 24-52'!L912,)</f>
        <v>0</v>
      </c>
      <c r="I59" s="321">
        <f>SUM('POSEBNI DIO 24-52'!M45,'POSEBNI DIO 24-52'!M63,'POSEBNI DIO 24-52'!M139,'POSEBNI DIO 24-52'!M163,'POSEBNI DIO 24-52'!M253,'POSEBNI DIO 24-52'!M282,'POSEBNI DIO 24-52'!M310,'POSEBNI DIO 24-52'!M392,'POSEBNI DIO 24-52'!M497,'POSEBNI DIO 24-52'!M555,'POSEBNI DIO 24-52'!M588,'POSEBNI DIO 24-52'!M630,'POSEBNI DIO 24-52'!M652,'POSEBNI DIO 24-52'!M678,'POSEBNI DIO 24-52'!M737,'POSEBNI DIO 24-52'!M825,'POSEBNI DIO 24-52'!M847,'POSEBNI DIO 24-52'!M84,'POSEBNI DIO 24-52'!M869,'POSEBNI DIO 24-52'!M892,'POSEBNI DIO 24-52'!M337,'POSEBNI DIO 24-52'!M912,)</f>
        <v>0</v>
      </c>
      <c r="J59" s="321">
        <f>SUM('POSEBNI DIO 24-52'!N45,'POSEBNI DIO 24-52'!N63,'POSEBNI DIO 24-52'!N139,'POSEBNI DIO 24-52'!N163,'POSEBNI DIO 24-52'!N253,'POSEBNI DIO 24-52'!N282,'POSEBNI DIO 24-52'!N310,'POSEBNI DIO 24-52'!N392,'POSEBNI DIO 24-52'!N497,'POSEBNI DIO 24-52'!N555,'POSEBNI DIO 24-52'!N588,'POSEBNI DIO 24-52'!N630,'POSEBNI DIO 24-52'!N652,'POSEBNI DIO 24-52'!N678,'POSEBNI DIO 24-52'!N737,'POSEBNI DIO 24-52'!N825,'POSEBNI DIO 24-52'!N847,'POSEBNI DIO 24-52'!N84,'POSEBNI DIO 24-52'!N869,'POSEBNI DIO 24-52'!N892,'POSEBNI DIO 24-52'!N337,'POSEBNI DIO 24-52'!N912,)</f>
        <v>24500</v>
      </c>
      <c r="K59" s="321">
        <f>SUM('POSEBNI DIO 24-52'!O45,'POSEBNI DIO 24-52'!O63,'POSEBNI DIO 24-52'!O139,'POSEBNI DIO 24-52'!O163,'POSEBNI DIO 24-52'!O253,'POSEBNI DIO 24-52'!O282,'POSEBNI DIO 24-52'!O310,'POSEBNI DIO 24-52'!O392,'POSEBNI DIO 24-52'!O497,'POSEBNI DIO 24-52'!O555,'POSEBNI DIO 24-52'!O588,'POSEBNI DIO 24-52'!O630,'POSEBNI DIO 24-52'!O652,'POSEBNI DIO 24-52'!O678,'POSEBNI DIO 24-52'!O737,'POSEBNI DIO 24-52'!O825,'POSEBNI DIO 24-52'!O847,'POSEBNI DIO 24-52'!O84,'POSEBNI DIO 24-52'!O869,'POSEBNI DIO 24-52'!O892,'POSEBNI DIO 24-52'!O337,'POSEBNI DIO 24-52'!O912,)</f>
        <v>340731.83999999997</v>
      </c>
      <c r="L59" s="321">
        <f>SUM('POSEBNI DIO 24-52'!P45,'POSEBNI DIO 24-52'!P63,'POSEBNI DIO 24-52'!P139,'POSEBNI DIO 24-52'!P163,'POSEBNI DIO 24-52'!P253,'POSEBNI DIO 24-52'!P282,'POSEBNI DIO 24-52'!P310,'POSEBNI DIO 24-52'!P392,'POSEBNI DIO 24-52'!P497,'POSEBNI DIO 24-52'!P555,'POSEBNI DIO 24-52'!P588,'POSEBNI DIO 24-52'!P630,'POSEBNI DIO 24-52'!P652,'POSEBNI DIO 24-52'!P678,'POSEBNI DIO 24-52'!P737,'POSEBNI DIO 24-52'!P825,'POSEBNI DIO 24-52'!P847,'POSEBNI DIO 24-52'!P84,'POSEBNI DIO 24-52'!P869,'POSEBNI DIO 24-52'!P892,'POSEBNI DIO 24-52'!P337,'POSEBNI DIO 24-52'!P912,)</f>
        <v>340731.83999999997</v>
      </c>
    </row>
    <row r="60" spans="1:12" ht="30.75" customHeight="1">
      <c r="A60" s="300">
        <v>613320</v>
      </c>
      <c r="B60" s="311" t="s">
        <v>74</v>
      </c>
      <c r="C60" s="321">
        <f>SUM('POSEBNI DIO 24-52'!G254,'POSEBNI DIO 24-52'!G283,'POSEBNI DIO 24-52'!G311,'POSEBNI DIO 24-52'!G498,'POSEBNI DIO 24-52'!G653,'POSEBNI DIO 24-52'!G679,'POSEBNI DIO 24-52'!G738,'POSEBNI DIO 24-52'!G848,'POSEBNI DIO 24-52'!G448,'POSEBNI DIO 24-52'!G870,'POSEBNI DIO 24-52'!G712,'POSEBNI DIO 24-52'!G338,'POSEBNI DIO 24-52'!G234,'POSEBNI DIO 24-52'!G415,)</f>
        <v>126309.5</v>
      </c>
      <c r="D60" s="321">
        <f>SUM('POSEBNI DIO 24-52'!H254,'POSEBNI DIO 24-52'!H283,'POSEBNI DIO 24-52'!H311,'POSEBNI DIO 24-52'!H498,'POSEBNI DIO 24-52'!H653,'POSEBNI DIO 24-52'!H679,'POSEBNI DIO 24-52'!H738,'POSEBNI DIO 24-52'!H848,'POSEBNI DIO 24-52'!H448,'POSEBNI DIO 24-52'!H870,'POSEBNI DIO 24-52'!H712,'POSEBNI DIO 24-52'!H338,'POSEBNI DIO 24-52'!H234,'POSEBNI DIO 24-52'!H415,)</f>
        <v>4000</v>
      </c>
      <c r="E60" s="321">
        <f>SUM('POSEBNI DIO 24-52'!I254,'POSEBNI DIO 24-52'!I283,'POSEBNI DIO 24-52'!I311,'POSEBNI DIO 24-52'!I498,'POSEBNI DIO 24-52'!I653,'POSEBNI DIO 24-52'!I679,'POSEBNI DIO 24-52'!I738,'POSEBNI DIO 24-52'!I848,'POSEBNI DIO 24-52'!I448,'POSEBNI DIO 24-52'!I870,'POSEBNI DIO 24-52'!I712,'POSEBNI DIO 24-52'!I338,'POSEBNI DIO 24-52'!I234,'POSEBNI DIO 24-52'!I415,)</f>
        <v>0</v>
      </c>
      <c r="F60" s="321">
        <f>SUM('POSEBNI DIO 24-52'!J254,'POSEBNI DIO 24-52'!J283,'POSEBNI DIO 24-52'!J311,'POSEBNI DIO 24-52'!J498,'POSEBNI DIO 24-52'!J653,'POSEBNI DIO 24-52'!J679,'POSEBNI DIO 24-52'!J738,'POSEBNI DIO 24-52'!J848,'POSEBNI DIO 24-52'!J448,'POSEBNI DIO 24-52'!J870,'POSEBNI DIO 24-52'!J712,'POSEBNI DIO 24-52'!J338,'POSEBNI DIO 24-52'!J234,'POSEBNI DIO 24-52'!J415,)</f>
        <v>130309.5</v>
      </c>
      <c r="G60" s="321">
        <f>SUM('POSEBNI DIO 24-52'!K254,'POSEBNI DIO 24-52'!K283,'POSEBNI DIO 24-52'!K311,'POSEBNI DIO 24-52'!K498,'POSEBNI DIO 24-52'!K653,'POSEBNI DIO 24-52'!K679,'POSEBNI DIO 24-52'!K738,'POSEBNI DIO 24-52'!K848,'POSEBNI DIO 24-52'!K448,'POSEBNI DIO 24-52'!K870,'POSEBNI DIO 24-52'!K712,'POSEBNI DIO 24-52'!K338,'POSEBNI DIO 24-52'!K234,'POSEBNI DIO 24-52'!K415,)</f>
        <v>54000</v>
      </c>
      <c r="H60" s="321">
        <f>SUM('POSEBNI DIO 24-52'!L254,'POSEBNI DIO 24-52'!L283,'POSEBNI DIO 24-52'!L311,'POSEBNI DIO 24-52'!L498,'POSEBNI DIO 24-52'!L653,'POSEBNI DIO 24-52'!L679,'POSEBNI DIO 24-52'!L738,'POSEBNI DIO 24-52'!L848,'POSEBNI DIO 24-52'!L448,'POSEBNI DIO 24-52'!L870,'POSEBNI DIO 24-52'!L712,'POSEBNI DIO 24-52'!L338,'POSEBNI DIO 24-52'!L234,'POSEBNI DIO 24-52'!L415,)</f>
        <v>0</v>
      </c>
      <c r="I60" s="321">
        <f>SUM('POSEBNI DIO 24-52'!M254,'POSEBNI DIO 24-52'!M283,'POSEBNI DIO 24-52'!M311,'POSEBNI DIO 24-52'!M498,'POSEBNI DIO 24-52'!M653,'POSEBNI DIO 24-52'!M679,'POSEBNI DIO 24-52'!M738,'POSEBNI DIO 24-52'!M848,'POSEBNI DIO 24-52'!M448,'POSEBNI DIO 24-52'!M870,'POSEBNI DIO 24-52'!M712,'POSEBNI DIO 24-52'!M338,'POSEBNI DIO 24-52'!M234,'POSEBNI DIO 24-52'!M415,)</f>
        <v>0</v>
      </c>
      <c r="J60" s="321">
        <f>SUM('POSEBNI DIO 24-52'!N254,'POSEBNI DIO 24-52'!N283,'POSEBNI DIO 24-52'!N311,'POSEBNI DIO 24-52'!N498,'POSEBNI DIO 24-52'!N653,'POSEBNI DIO 24-52'!N679,'POSEBNI DIO 24-52'!N738,'POSEBNI DIO 24-52'!N848,'POSEBNI DIO 24-52'!N448,'POSEBNI DIO 24-52'!N870,'POSEBNI DIO 24-52'!N712,'POSEBNI DIO 24-52'!N338,'POSEBNI DIO 24-52'!N234,'POSEBNI DIO 24-52'!N415,)</f>
        <v>54000</v>
      </c>
      <c r="K60" s="321">
        <f>SUM('POSEBNI DIO 24-52'!O254,'POSEBNI DIO 24-52'!O283,'POSEBNI DIO 24-52'!O311,'POSEBNI DIO 24-52'!O498,'POSEBNI DIO 24-52'!O653,'POSEBNI DIO 24-52'!O679,'POSEBNI DIO 24-52'!O738,'POSEBNI DIO 24-52'!O848,'POSEBNI DIO 24-52'!O448,'POSEBNI DIO 24-52'!O870,'POSEBNI DIO 24-52'!O712,'POSEBNI DIO 24-52'!O338,'POSEBNI DIO 24-52'!O234,'POSEBNI DIO 24-52'!O415,)</f>
        <v>180309.5</v>
      </c>
      <c r="L60" s="321">
        <f>SUM('POSEBNI DIO 24-52'!P254,'POSEBNI DIO 24-52'!P283,'POSEBNI DIO 24-52'!P311,'POSEBNI DIO 24-52'!P498,'POSEBNI DIO 24-52'!P653,'POSEBNI DIO 24-52'!P679,'POSEBNI DIO 24-52'!P738,'POSEBNI DIO 24-52'!P848,'POSEBNI DIO 24-52'!P448,'POSEBNI DIO 24-52'!P870,'POSEBNI DIO 24-52'!P712,'POSEBNI DIO 24-52'!P338,'POSEBNI DIO 24-52'!P234,'POSEBNI DIO 24-52'!P415,)</f>
        <v>184309.5</v>
      </c>
    </row>
    <row r="61" spans="1:12" ht="31.5" customHeight="1">
      <c r="A61" s="313">
        <v>613320</v>
      </c>
      <c r="B61" s="311" t="s">
        <v>115</v>
      </c>
      <c r="C61" s="312">
        <f>SUM('POSEBNI DIO 24-52'!G410,'POSEBNI DIO 24-52'!G447,'POSEBNI DIO 24-52'!G520,)</f>
        <v>900000</v>
      </c>
      <c r="D61" s="312">
        <f>SUM('POSEBNI DIO 24-52'!H410,'POSEBNI DIO 24-52'!H447,'POSEBNI DIO 24-52'!H520,)</f>
        <v>500000</v>
      </c>
      <c r="E61" s="312">
        <f>SUM('POSEBNI DIO 24-52'!I410,'POSEBNI DIO 24-52'!I447,'POSEBNI DIO 24-52'!I520,)</f>
        <v>500000</v>
      </c>
      <c r="F61" s="312">
        <f>SUM('POSEBNI DIO 24-52'!J410,'POSEBNI DIO 24-52'!J447,'POSEBNI DIO 24-52'!J520,)</f>
        <v>900000</v>
      </c>
      <c r="G61" s="312">
        <f>SUM('POSEBNI DIO 24-52'!K410,'POSEBNI DIO 24-52'!K447,'POSEBNI DIO 24-52'!K520,)</f>
        <v>0</v>
      </c>
      <c r="H61" s="312">
        <f>SUM('POSEBNI DIO 24-52'!L410,'POSEBNI DIO 24-52'!L447,'POSEBNI DIO 24-52'!L520,)</f>
        <v>0</v>
      </c>
      <c r="I61" s="312">
        <f>SUM('POSEBNI DIO 24-52'!M410,'POSEBNI DIO 24-52'!M447,'POSEBNI DIO 24-52'!M520,)</f>
        <v>0</v>
      </c>
      <c r="J61" s="312">
        <f>SUM('POSEBNI DIO 24-52'!N410,'POSEBNI DIO 24-52'!N447,'POSEBNI DIO 24-52'!N520,)</f>
        <v>0</v>
      </c>
      <c r="K61" s="312">
        <f>SUM('POSEBNI DIO 24-52'!O410,'POSEBNI DIO 24-52'!O447,'POSEBNI DIO 24-52'!O520,)</f>
        <v>900000</v>
      </c>
      <c r="L61" s="312">
        <f>SUM('POSEBNI DIO 24-52'!P410,'POSEBNI DIO 24-52'!P447,'POSEBNI DIO 24-52'!P520,)</f>
        <v>900000</v>
      </c>
    </row>
    <row r="62" spans="1:12" ht="30.75" customHeight="1">
      <c r="A62" s="313">
        <v>613320</v>
      </c>
      <c r="B62" s="311" t="s">
        <v>116</v>
      </c>
      <c r="C62" s="312">
        <f>SUM('POSEBNI DIO 24-52'!G411,'POSEBNI DIO 24-52'!G521,)</f>
        <v>800000</v>
      </c>
      <c r="D62" s="312">
        <f>SUM('POSEBNI DIO 24-52'!H411,'POSEBNI DIO 24-52'!H521,)</f>
        <v>400000</v>
      </c>
      <c r="E62" s="312">
        <f>SUM('POSEBNI DIO 24-52'!I411,'POSEBNI DIO 24-52'!I521,)</f>
        <v>400000</v>
      </c>
      <c r="F62" s="312">
        <f>SUM('POSEBNI DIO 24-52'!J411,'POSEBNI DIO 24-52'!J521,)</f>
        <v>800000</v>
      </c>
      <c r="G62" s="312">
        <f>SUM('POSEBNI DIO 24-52'!K411,'POSEBNI DIO 24-52'!K521,)</f>
        <v>0</v>
      </c>
      <c r="H62" s="312">
        <f>SUM('POSEBNI DIO 24-52'!L411,'POSEBNI DIO 24-52'!L521,)</f>
        <v>0</v>
      </c>
      <c r="I62" s="312">
        <f>SUM('POSEBNI DIO 24-52'!M411,'POSEBNI DIO 24-52'!M521,)</f>
        <v>0</v>
      </c>
      <c r="J62" s="312">
        <f>SUM('POSEBNI DIO 24-52'!N411,'POSEBNI DIO 24-52'!N521,)</f>
        <v>0</v>
      </c>
      <c r="K62" s="312">
        <f>SUM('POSEBNI DIO 24-52'!O411,'POSEBNI DIO 24-52'!O521,)</f>
        <v>800000</v>
      </c>
      <c r="L62" s="312">
        <f>SUM('POSEBNI DIO 24-52'!P411,'POSEBNI DIO 24-52'!P521,)</f>
        <v>800000</v>
      </c>
    </row>
    <row r="63" spans="1:12" ht="31.5" customHeight="1">
      <c r="A63" s="313">
        <v>613320</v>
      </c>
      <c r="B63" s="310" t="s">
        <v>118</v>
      </c>
      <c r="C63" s="312">
        <f>SUM('POSEBNI DIO 24-52'!G412,'POSEBNI DIO 24-52'!G522,)</f>
        <v>470000</v>
      </c>
      <c r="D63" s="312">
        <f>SUM('POSEBNI DIO 24-52'!H412,'POSEBNI DIO 24-52'!H522,)</f>
        <v>180000</v>
      </c>
      <c r="E63" s="312">
        <f>SUM('POSEBNI DIO 24-52'!I412,'POSEBNI DIO 24-52'!I522,)</f>
        <v>180000</v>
      </c>
      <c r="F63" s="312">
        <f>SUM('POSEBNI DIO 24-52'!J412,'POSEBNI DIO 24-52'!J522,)</f>
        <v>470000</v>
      </c>
      <c r="G63" s="312">
        <f>SUM('POSEBNI DIO 24-52'!K412,'POSEBNI DIO 24-52'!K522,)</f>
        <v>0</v>
      </c>
      <c r="H63" s="312">
        <f>SUM('POSEBNI DIO 24-52'!L412,'POSEBNI DIO 24-52'!L522,)</f>
        <v>0</v>
      </c>
      <c r="I63" s="312">
        <f>SUM('POSEBNI DIO 24-52'!M412,'POSEBNI DIO 24-52'!M522,)</f>
        <v>0</v>
      </c>
      <c r="J63" s="312">
        <f>SUM('POSEBNI DIO 24-52'!N412,'POSEBNI DIO 24-52'!N522,)</f>
        <v>0</v>
      </c>
      <c r="K63" s="312">
        <f>SUM('POSEBNI DIO 24-52'!O412,'POSEBNI DIO 24-52'!O522,)</f>
        <v>470000</v>
      </c>
      <c r="L63" s="312">
        <f>SUM('POSEBNI DIO 24-52'!P412,'POSEBNI DIO 24-52'!P522,)</f>
        <v>470000</v>
      </c>
    </row>
    <row r="64" spans="1:12" ht="31.5" customHeight="1">
      <c r="A64" s="313">
        <v>613320</v>
      </c>
      <c r="B64" s="828" t="s">
        <v>898</v>
      </c>
      <c r="C64" s="312">
        <f>SUM('POSEBNI DIO 24-52'!G413)</f>
        <v>40000</v>
      </c>
      <c r="D64" s="312">
        <f>SUM('POSEBNI DIO 24-52'!H413)</f>
        <v>0</v>
      </c>
      <c r="E64" s="312">
        <f>SUM('POSEBNI DIO 24-52'!I413)</f>
        <v>0</v>
      </c>
      <c r="F64" s="312">
        <f>SUM('POSEBNI DIO 24-52'!J413)</f>
        <v>40000</v>
      </c>
      <c r="G64" s="312">
        <f>SUM('POSEBNI DIO 24-52'!K413)</f>
        <v>0</v>
      </c>
      <c r="H64" s="312">
        <f>SUM('POSEBNI DIO 24-52'!L413)</f>
        <v>0</v>
      </c>
      <c r="I64" s="312">
        <f>SUM('POSEBNI DIO 24-52'!M413)</f>
        <v>0</v>
      </c>
      <c r="J64" s="312">
        <f>SUM('POSEBNI DIO 24-52'!N413)</f>
        <v>0</v>
      </c>
      <c r="K64" s="312">
        <f>SUM('POSEBNI DIO 24-52'!O413)</f>
        <v>40000</v>
      </c>
      <c r="L64" s="312">
        <f>SUM('POSEBNI DIO 24-52'!P413)</f>
        <v>40000</v>
      </c>
    </row>
    <row r="65" spans="1:12" ht="31.5" customHeight="1">
      <c r="A65" s="300">
        <v>613320</v>
      </c>
      <c r="B65" s="1290" t="s">
        <v>1386</v>
      </c>
      <c r="C65" s="312">
        <f>SUM('POSEBNI DIO 24-52'!G776)</f>
        <v>200000</v>
      </c>
      <c r="D65" s="312">
        <f>SUM('POSEBNI DIO 24-52'!H776)</f>
        <v>0</v>
      </c>
      <c r="E65" s="312">
        <f>SUM('POSEBNI DIO 24-52'!I776)</f>
        <v>0</v>
      </c>
      <c r="F65" s="312">
        <f>SUM('POSEBNI DIO 24-52'!J776)</f>
        <v>200000</v>
      </c>
      <c r="G65" s="312">
        <f>SUM('POSEBNI DIO 24-52'!K776)</f>
        <v>0</v>
      </c>
      <c r="H65" s="312">
        <f>SUM('POSEBNI DIO 24-52'!L776)</f>
        <v>0</v>
      </c>
      <c r="I65" s="312">
        <f>SUM('POSEBNI DIO 24-52'!M776)</f>
        <v>0</v>
      </c>
      <c r="J65" s="312">
        <f>SUM('POSEBNI DIO 24-52'!N776)</f>
        <v>0</v>
      </c>
      <c r="K65" s="312">
        <f>SUM('POSEBNI DIO 24-52'!O776)</f>
        <v>200000</v>
      </c>
      <c r="L65" s="312">
        <f>SUM('POSEBNI DIO 24-52'!P776)</f>
        <v>200000</v>
      </c>
    </row>
    <row r="66" spans="1:12" ht="57" customHeight="1" thickBot="1">
      <c r="A66" s="314">
        <v>613320</v>
      </c>
      <c r="B66" s="315" t="s">
        <v>545</v>
      </c>
      <c r="C66" s="316">
        <f>SUM('POSEBNI DIO 24-52'!G414,)</f>
        <v>10000</v>
      </c>
      <c r="D66" s="316">
        <f>SUM('POSEBNI DIO 24-52'!H414,)</f>
        <v>0</v>
      </c>
      <c r="E66" s="316">
        <f>SUM('POSEBNI DIO 24-52'!I414,)</f>
        <v>0</v>
      </c>
      <c r="F66" s="316">
        <f>SUM('POSEBNI DIO 24-52'!J414,)</f>
        <v>10000</v>
      </c>
      <c r="G66" s="316">
        <f>SUM('POSEBNI DIO 24-52'!K414,)</f>
        <v>0</v>
      </c>
      <c r="H66" s="316">
        <f>SUM('POSEBNI DIO 24-52'!L414,)</f>
        <v>0</v>
      </c>
      <c r="I66" s="316">
        <f>SUM('POSEBNI DIO 24-52'!M414,)</f>
        <v>0</v>
      </c>
      <c r="J66" s="316">
        <f>SUM('POSEBNI DIO 24-52'!N414,)</f>
        <v>0</v>
      </c>
      <c r="K66" s="316">
        <f>SUM('POSEBNI DIO 24-52'!O414,)</f>
        <v>10000</v>
      </c>
      <c r="L66" s="316">
        <f>SUM('POSEBNI DIO 24-52'!P414,)</f>
        <v>10000</v>
      </c>
    </row>
    <row r="67" spans="1:12" ht="26.25" thickBot="1">
      <c r="A67" s="282"/>
      <c r="B67" s="282"/>
      <c r="C67" s="283"/>
      <c r="D67" s="283"/>
      <c r="E67" s="283"/>
      <c r="F67" s="283"/>
      <c r="G67" s="283"/>
      <c r="H67" s="283"/>
      <c r="I67" s="283"/>
      <c r="J67" s="283"/>
      <c r="K67" s="283"/>
      <c r="L67" s="283"/>
    </row>
    <row r="68" spans="1:12" s="236" customFormat="1" ht="287.25" customHeight="1">
      <c r="A68" s="284" t="s">
        <v>186</v>
      </c>
      <c r="B68" s="285" t="s">
        <v>496</v>
      </c>
      <c r="C68" s="816" t="s">
        <v>1130</v>
      </c>
      <c r="D68" s="816" t="s">
        <v>1363</v>
      </c>
      <c r="E68" s="816" t="s">
        <v>1364</v>
      </c>
      <c r="F68" s="816" t="s">
        <v>1365</v>
      </c>
      <c r="G68" s="816" t="s">
        <v>1185</v>
      </c>
      <c r="H68" s="816" t="s">
        <v>1366</v>
      </c>
      <c r="I68" s="816" t="s">
        <v>1367</v>
      </c>
      <c r="J68" s="816" t="s">
        <v>1368</v>
      </c>
      <c r="K68" s="816" t="s">
        <v>1131</v>
      </c>
      <c r="L68" s="816" t="s">
        <v>1362</v>
      </c>
    </row>
    <row r="69" spans="1:12" s="317" customFormat="1" ht="20.25" customHeight="1">
      <c r="A69" s="286">
        <v>0</v>
      </c>
      <c r="B69" s="287">
        <v>1</v>
      </c>
      <c r="C69" s="239">
        <v>2</v>
      </c>
      <c r="D69" s="239">
        <v>3</v>
      </c>
      <c r="E69" s="239">
        <v>4</v>
      </c>
      <c r="F69" s="239">
        <v>5</v>
      </c>
      <c r="G69" s="239">
        <v>6</v>
      </c>
      <c r="H69" s="239">
        <v>7</v>
      </c>
      <c r="I69" s="239">
        <v>8</v>
      </c>
      <c r="J69" s="239">
        <v>9</v>
      </c>
      <c r="K69" s="239">
        <v>10</v>
      </c>
      <c r="L69" s="240">
        <v>11</v>
      </c>
    </row>
    <row r="70" spans="1:12" ht="30" customHeight="1">
      <c r="A70" s="305">
        <v>613400</v>
      </c>
      <c r="B70" s="318" t="s">
        <v>521</v>
      </c>
      <c r="C70" s="309">
        <f>SUM(C71:C73)</f>
        <v>471225.82</v>
      </c>
      <c r="D70" s="309">
        <f aca="true" t="shared" si="25" ref="D70:L70">SUM(D71:D73)</f>
        <v>25000</v>
      </c>
      <c r="E70" s="309">
        <f t="shared" si="25"/>
        <v>0</v>
      </c>
      <c r="F70" s="309">
        <f t="shared" si="25"/>
        <v>496225.82</v>
      </c>
      <c r="G70" s="309">
        <f t="shared" si="25"/>
        <v>323365.93</v>
      </c>
      <c r="H70" s="309">
        <f t="shared" si="25"/>
        <v>0</v>
      </c>
      <c r="I70" s="309">
        <f t="shared" si="25"/>
        <v>0</v>
      </c>
      <c r="J70" s="309">
        <f t="shared" si="25"/>
        <v>323365.93</v>
      </c>
      <c r="K70" s="309">
        <f t="shared" si="25"/>
        <v>794591.75</v>
      </c>
      <c r="L70" s="309">
        <f t="shared" si="25"/>
        <v>819591.75</v>
      </c>
    </row>
    <row r="71" spans="1:12" ht="26.25" customHeight="1">
      <c r="A71" s="300">
        <v>613400</v>
      </c>
      <c r="B71" s="320" t="s">
        <v>119</v>
      </c>
      <c r="C71" s="321">
        <f>SUM('POSEBNI DIO 24-52'!G46,'POSEBNI DIO 24-52'!G140,'POSEBNI DIO 24-52'!G164,'POSEBNI DIO 24-52'!G255,'POSEBNI DIO 24-52'!G284,'POSEBNI DIO 24-52'!G312,'POSEBNI DIO 24-52'!G556,'POSEBNI DIO 24-52'!G589,'POSEBNI DIO 24-52'!G631,'POSEBNI DIO 24-52'!G654,'POSEBNI DIO 24-52'!G680,'POSEBNI DIO 24-52'!G739,'POSEBNI DIO 24-52'!G826,'POSEBNI DIO 24-52'!G849,'POSEBNI DIO 24-52'!G393,'POSEBNI DIO 24-52'!G499,'POSEBNI DIO 24-52'!G893,'POSEBNI DIO 24-52'!G85,'POSEBNI DIO 24-52'!G871,'POSEBNI DIO 24-52'!G339,'POSEBNI DIO 24-52'!G913,'POSEBNI DIO 24-52'!G808,)</f>
        <v>198400</v>
      </c>
      <c r="D71" s="321">
        <f>SUM('POSEBNI DIO 24-52'!H46,'POSEBNI DIO 24-52'!H140,'POSEBNI DIO 24-52'!H164,'POSEBNI DIO 24-52'!H255,'POSEBNI DIO 24-52'!H284,'POSEBNI DIO 24-52'!H312,'POSEBNI DIO 24-52'!H556,'POSEBNI DIO 24-52'!H589,'POSEBNI DIO 24-52'!H631,'POSEBNI DIO 24-52'!H654,'POSEBNI DIO 24-52'!H680,'POSEBNI DIO 24-52'!H739,'POSEBNI DIO 24-52'!H826,'POSEBNI DIO 24-52'!H849,'POSEBNI DIO 24-52'!H393,'POSEBNI DIO 24-52'!H499,'POSEBNI DIO 24-52'!H893,'POSEBNI DIO 24-52'!H85,'POSEBNI DIO 24-52'!H871,'POSEBNI DIO 24-52'!H339,'POSEBNI DIO 24-52'!H913,'POSEBNI DIO 24-52'!H808,)</f>
        <v>25000</v>
      </c>
      <c r="E71" s="321">
        <f>SUM('POSEBNI DIO 24-52'!I46,'POSEBNI DIO 24-52'!I140,'POSEBNI DIO 24-52'!I164,'POSEBNI DIO 24-52'!I255,'POSEBNI DIO 24-52'!I284,'POSEBNI DIO 24-52'!I312,'POSEBNI DIO 24-52'!I556,'POSEBNI DIO 24-52'!I589,'POSEBNI DIO 24-52'!I631,'POSEBNI DIO 24-52'!I654,'POSEBNI DIO 24-52'!I680,'POSEBNI DIO 24-52'!I739,'POSEBNI DIO 24-52'!I826,'POSEBNI DIO 24-52'!I849,'POSEBNI DIO 24-52'!I393,'POSEBNI DIO 24-52'!I499,'POSEBNI DIO 24-52'!I893,'POSEBNI DIO 24-52'!I85,'POSEBNI DIO 24-52'!I871,'POSEBNI DIO 24-52'!I339,'POSEBNI DIO 24-52'!I913,'POSEBNI DIO 24-52'!I808,)</f>
        <v>0</v>
      </c>
      <c r="F71" s="321">
        <f>SUM('POSEBNI DIO 24-52'!J46,'POSEBNI DIO 24-52'!J140,'POSEBNI DIO 24-52'!J164,'POSEBNI DIO 24-52'!J255,'POSEBNI DIO 24-52'!J284,'POSEBNI DIO 24-52'!J312,'POSEBNI DIO 24-52'!J556,'POSEBNI DIO 24-52'!J589,'POSEBNI DIO 24-52'!J631,'POSEBNI DIO 24-52'!J654,'POSEBNI DIO 24-52'!J680,'POSEBNI DIO 24-52'!J739,'POSEBNI DIO 24-52'!J826,'POSEBNI DIO 24-52'!J849,'POSEBNI DIO 24-52'!J393,'POSEBNI DIO 24-52'!J499,'POSEBNI DIO 24-52'!J893,'POSEBNI DIO 24-52'!J85,'POSEBNI DIO 24-52'!J871,'POSEBNI DIO 24-52'!J339,'POSEBNI DIO 24-52'!J913,'POSEBNI DIO 24-52'!J808,)</f>
        <v>223400</v>
      </c>
      <c r="G71" s="321">
        <f>SUM('POSEBNI DIO 24-52'!K46,'POSEBNI DIO 24-52'!K140,'POSEBNI DIO 24-52'!K164,'POSEBNI DIO 24-52'!K255,'POSEBNI DIO 24-52'!K284,'POSEBNI DIO 24-52'!K312,'POSEBNI DIO 24-52'!K556,'POSEBNI DIO 24-52'!K589,'POSEBNI DIO 24-52'!K631,'POSEBNI DIO 24-52'!K654,'POSEBNI DIO 24-52'!K680,'POSEBNI DIO 24-52'!K739,'POSEBNI DIO 24-52'!K826,'POSEBNI DIO 24-52'!K849,'POSEBNI DIO 24-52'!K393,'POSEBNI DIO 24-52'!K499,'POSEBNI DIO 24-52'!K893,'POSEBNI DIO 24-52'!K85,'POSEBNI DIO 24-52'!K871,'POSEBNI DIO 24-52'!K339,'POSEBNI DIO 24-52'!K913,'POSEBNI DIO 24-52'!K808,)</f>
        <v>323365.93</v>
      </c>
      <c r="H71" s="321">
        <f>SUM('POSEBNI DIO 24-52'!L46,'POSEBNI DIO 24-52'!L140,'POSEBNI DIO 24-52'!L164,'POSEBNI DIO 24-52'!L255,'POSEBNI DIO 24-52'!L284,'POSEBNI DIO 24-52'!L312,'POSEBNI DIO 24-52'!L556,'POSEBNI DIO 24-52'!L589,'POSEBNI DIO 24-52'!L631,'POSEBNI DIO 24-52'!L654,'POSEBNI DIO 24-52'!L680,'POSEBNI DIO 24-52'!L739,'POSEBNI DIO 24-52'!L826,'POSEBNI DIO 24-52'!L849,'POSEBNI DIO 24-52'!L393,'POSEBNI DIO 24-52'!L499,'POSEBNI DIO 24-52'!L893,'POSEBNI DIO 24-52'!L85,'POSEBNI DIO 24-52'!L871,'POSEBNI DIO 24-52'!L339,'POSEBNI DIO 24-52'!L913,'POSEBNI DIO 24-52'!L808,)</f>
        <v>0</v>
      </c>
      <c r="I71" s="321">
        <f>SUM('POSEBNI DIO 24-52'!M46,'POSEBNI DIO 24-52'!M140,'POSEBNI DIO 24-52'!M164,'POSEBNI DIO 24-52'!M255,'POSEBNI DIO 24-52'!M284,'POSEBNI DIO 24-52'!M312,'POSEBNI DIO 24-52'!M556,'POSEBNI DIO 24-52'!M589,'POSEBNI DIO 24-52'!M631,'POSEBNI DIO 24-52'!M654,'POSEBNI DIO 24-52'!M680,'POSEBNI DIO 24-52'!M739,'POSEBNI DIO 24-52'!M826,'POSEBNI DIO 24-52'!M849,'POSEBNI DIO 24-52'!M393,'POSEBNI DIO 24-52'!M499,'POSEBNI DIO 24-52'!M893,'POSEBNI DIO 24-52'!M85,'POSEBNI DIO 24-52'!M871,'POSEBNI DIO 24-52'!M339,'POSEBNI DIO 24-52'!M913,'POSEBNI DIO 24-52'!M808,)</f>
        <v>0</v>
      </c>
      <c r="J71" s="321">
        <f>SUM('POSEBNI DIO 24-52'!N46,'POSEBNI DIO 24-52'!N140,'POSEBNI DIO 24-52'!N164,'POSEBNI DIO 24-52'!N255,'POSEBNI DIO 24-52'!N284,'POSEBNI DIO 24-52'!N312,'POSEBNI DIO 24-52'!N556,'POSEBNI DIO 24-52'!N589,'POSEBNI DIO 24-52'!N631,'POSEBNI DIO 24-52'!N654,'POSEBNI DIO 24-52'!N680,'POSEBNI DIO 24-52'!N739,'POSEBNI DIO 24-52'!N826,'POSEBNI DIO 24-52'!N849,'POSEBNI DIO 24-52'!N393,'POSEBNI DIO 24-52'!N499,'POSEBNI DIO 24-52'!N893,'POSEBNI DIO 24-52'!N85,'POSEBNI DIO 24-52'!N871,'POSEBNI DIO 24-52'!N339,'POSEBNI DIO 24-52'!N913,'POSEBNI DIO 24-52'!N808,)</f>
        <v>323365.93</v>
      </c>
      <c r="K71" s="321">
        <f>SUM('POSEBNI DIO 24-52'!O46,'POSEBNI DIO 24-52'!O140,'POSEBNI DIO 24-52'!O164,'POSEBNI DIO 24-52'!O255,'POSEBNI DIO 24-52'!O284,'POSEBNI DIO 24-52'!O312,'POSEBNI DIO 24-52'!O556,'POSEBNI DIO 24-52'!O589,'POSEBNI DIO 24-52'!O631,'POSEBNI DIO 24-52'!O654,'POSEBNI DIO 24-52'!O680,'POSEBNI DIO 24-52'!O739,'POSEBNI DIO 24-52'!O826,'POSEBNI DIO 24-52'!O849,'POSEBNI DIO 24-52'!O393,'POSEBNI DIO 24-52'!O499,'POSEBNI DIO 24-52'!O893,'POSEBNI DIO 24-52'!O85,'POSEBNI DIO 24-52'!O871,'POSEBNI DIO 24-52'!O339,'POSEBNI DIO 24-52'!O913,'POSEBNI DIO 24-52'!O808,)</f>
        <v>521765.93</v>
      </c>
      <c r="L71" s="321">
        <f>SUM('POSEBNI DIO 24-52'!P46,'POSEBNI DIO 24-52'!P140,'POSEBNI DIO 24-52'!P164,'POSEBNI DIO 24-52'!P255,'POSEBNI DIO 24-52'!P284,'POSEBNI DIO 24-52'!P312,'POSEBNI DIO 24-52'!P556,'POSEBNI DIO 24-52'!P589,'POSEBNI DIO 24-52'!P631,'POSEBNI DIO 24-52'!P654,'POSEBNI DIO 24-52'!P680,'POSEBNI DIO 24-52'!P739,'POSEBNI DIO 24-52'!P826,'POSEBNI DIO 24-52'!P849,'POSEBNI DIO 24-52'!P393,'POSEBNI DIO 24-52'!P499,'POSEBNI DIO 24-52'!P893,'POSEBNI DIO 24-52'!P85,'POSEBNI DIO 24-52'!P871,'POSEBNI DIO 24-52'!P339,'POSEBNI DIO 24-52'!P913,'POSEBNI DIO 24-52'!P808,)</f>
        <v>546765.9299999999</v>
      </c>
    </row>
    <row r="72" spans="1:12" ht="24" customHeight="1">
      <c r="A72" s="300">
        <v>613400</v>
      </c>
      <c r="B72" s="320" t="s">
        <v>431</v>
      </c>
      <c r="C72" s="321">
        <f>'POSEBNI DIO 24-52'!G64</f>
        <v>2000</v>
      </c>
      <c r="D72" s="321">
        <f>'POSEBNI DIO 24-52'!H64</f>
        <v>0</v>
      </c>
      <c r="E72" s="321">
        <f>'POSEBNI DIO 24-52'!I64</f>
        <v>0</v>
      </c>
      <c r="F72" s="321">
        <f>'POSEBNI DIO 24-52'!J64</f>
        <v>2000</v>
      </c>
      <c r="G72" s="321">
        <f>'POSEBNI DIO 24-52'!K64</f>
        <v>0</v>
      </c>
      <c r="H72" s="321">
        <f>'POSEBNI DIO 24-52'!L64</f>
        <v>0</v>
      </c>
      <c r="I72" s="321">
        <f>'POSEBNI DIO 24-52'!M64</f>
        <v>0</v>
      </c>
      <c r="J72" s="321">
        <f>'POSEBNI DIO 24-52'!N64</f>
        <v>0</v>
      </c>
      <c r="K72" s="321">
        <f>'POSEBNI DIO 24-52'!O64</f>
        <v>2000</v>
      </c>
      <c r="L72" s="321">
        <f>'POSEBNI DIO 24-52'!P64</f>
        <v>2000</v>
      </c>
    </row>
    <row r="73" spans="1:12" ht="24" customHeight="1">
      <c r="A73" s="300">
        <v>613400</v>
      </c>
      <c r="B73" s="817" t="s">
        <v>1387</v>
      </c>
      <c r="C73" s="321">
        <f>SUM('POSEBNI DIO 24-52'!G777)</f>
        <v>270825.82</v>
      </c>
      <c r="D73" s="321">
        <f>SUM('POSEBNI DIO 24-52'!H777)</f>
        <v>0</v>
      </c>
      <c r="E73" s="321">
        <f>SUM('POSEBNI DIO 24-52'!I777)</f>
        <v>0</v>
      </c>
      <c r="F73" s="321">
        <f>SUM('POSEBNI DIO 24-52'!J777)</f>
        <v>270825.82</v>
      </c>
      <c r="G73" s="321">
        <f>SUM('POSEBNI DIO 24-52'!K777)</f>
        <v>0</v>
      </c>
      <c r="H73" s="321">
        <f>SUM('POSEBNI DIO 24-52'!L777)</f>
        <v>0</v>
      </c>
      <c r="I73" s="321">
        <f>SUM('POSEBNI DIO 24-52'!M777)</f>
        <v>0</v>
      </c>
      <c r="J73" s="321">
        <f>SUM('POSEBNI DIO 24-52'!N777)</f>
        <v>0</v>
      </c>
      <c r="K73" s="321">
        <f>SUM('POSEBNI DIO 24-52'!O777)</f>
        <v>270825.82</v>
      </c>
      <c r="L73" s="321">
        <f>SUM('POSEBNI DIO 24-52'!P777)</f>
        <v>270825.82</v>
      </c>
    </row>
    <row r="74" spans="1:12" ht="30" customHeight="1">
      <c r="A74" s="277">
        <v>613500</v>
      </c>
      <c r="B74" s="322" t="s">
        <v>120</v>
      </c>
      <c r="C74" s="271">
        <f aca="true" t="shared" si="26" ref="C74:L74">SUM(C75)</f>
        <v>80900</v>
      </c>
      <c r="D74" s="271">
        <f t="shared" si="26"/>
        <v>0</v>
      </c>
      <c r="E74" s="271">
        <f t="shared" si="26"/>
        <v>10000</v>
      </c>
      <c r="F74" s="271">
        <f t="shared" si="26"/>
        <v>70900</v>
      </c>
      <c r="G74" s="271">
        <f t="shared" si="26"/>
        <v>17000</v>
      </c>
      <c r="H74" s="271">
        <f t="shared" si="26"/>
        <v>0</v>
      </c>
      <c r="I74" s="271">
        <f t="shared" si="26"/>
        <v>0</v>
      </c>
      <c r="J74" s="271">
        <f t="shared" si="26"/>
        <v>17000</v>
      </c>
      <c r="K74" s="271">
        <f t="shared" si="26"/>
        <v>97900</v>
      </c>
      <c r="L74" s="271">
        <f t="shared" si="26"/>
        <v>87900</v>
      </c>
    </row>
    <row r="75" spans="1:12" ht="26.25" customHeight="1">
      <c r="A75" s="300">
        <v>613500</v>
      </c>
      <c r="B75" s="308" t="s">
        <v>121</v>
      </c>
      <c r="C75" s="321">
        <f>SUM('POSEBNI DIO 24-52'!G740,'POSEBNI DIO 24-52'!G655,'POSEBNI DIO 24-52'!G256,'POSEBNI DIO 24-52'!G285,'POSEBNI DIO 24-52'!G313,'POSEBNI DIO 24-52'!G500,'POSEBNI DIO 24-52'!G340,'POSEBNI DIO 24-52'!G65,)</f>
        <v>80900</v>
      </c>
      <c r="D75" s="321">
        <f>SUM('POSEBNI DIO 24-52'!H740,'POSEBNI DIO 24-52'!H655,'POSEBNI DIO 24-52'!H256,'POSEBNI DIO 24-52'!H285,'POSEBNI DIO 24-52'!H313,'POSEBNI DIO 24-52'!H500,'POSEBNI DIO 24-52'!H340,'POSEBNI DIO 24-52'!H65,)</f>
        <v>0</v>
      </c>
      <c r="E75" s="321">
        <f>SUM('POSEBNI DIO 24-52'!I740,'POSEBNI DIO 24-52'!I655,'POSEBNI DIO 24-52'!I256,'POSEBNI DIO 24-52'!I285,'POSEBNI DIO 24-52'!I313,'POSEBNI DIO 24-52'!I500,'POSEBNI DIO 24-52'!I340,'POSEBNI DIO 24-52'!I65,)</f>
        <v>10000</v>
      </c>
      <c r="F75" s="321">
        <f>SUM('POSEBNI DIO 24-52'!J740,'POSEBNI DIO 24-52'!J655,'POSEBNI DIO 24-52'!J256,'POSEBNI DIO 24-52'!J285,'POSEBNI DIO 24-52'!J313,'POSEBNI DIO 24-52'!J500,'POSEBNI DIO 24-52'!J340,'POSEBNI DIO 24-52'!J65,)</f>
        <v>70900</v>
      </c>
      <c r="G75" s="321">
        <f>SUM('POSEBNI DIO 24-52'!K740,'POSEBNI DIO 24-52'!K655,'POSEBNI DIO 24-52'!K256,'POSEBNI DIO 24-52'!K285,'POSEBNI DIO 24-52'!K313,'POSEBNI DIO 24-52'!K500,'POSEBNI DIO 24-52'!K340,'POSEBNI DIO 24-52'!K65,)</f>
        <v>17000</v>
      </c>
      <c r="H75" s="321">
        <f>SUM('POSEBNI DIO 24-52'!L740,'POSEBNI DIO 24-52'!L655,'POSEBNI DIO 24-52'!L256,'POSEBNI DIO 24-52'!L285,'POSEBNI DIO 24-52'!L313,'POSEBNI DIO 24-52'!L500,'POSEBNI DIO 24-52'!L340,'POSEBNI DIO 24-52'!L65,)</f>
        <v>0</v>
      </c>
      <c r="I75" s="321">
        <f>SUM('POSEBNI DIO 24-52'!M740,'POSEBNI DIO 24-52'!M655,'POSEBNI DIO 24-52'!M256,'POSEBNI DIO 24-52'!M285,'POSEBNI DIO 24-52'!M313,'POSEBNI DIO 24-52'!M500,'POSEBNI DIO 24-52'!M340,'POSEBNI DIO 24-52'!M65,)</f>
        <v>0</v>
      </c>
      <c r="J75" s="321">
        <f>SUM('POSEBNI DIO 24-52'!N740,'POSEBNI DIO 24-52'!N655,'POSEBNI DIO 24-52'!N256,'POSEBNI DIO 24-52'!N285,'POSEBNI DIO 24-52'!N313,'POSEBNI DIO 24-52'!N500,'POSEBNI DIO 24-52'!N340,'POSEBNI DIO 24-52'!N65,)</f>
        <v>17000</v>
      </c>
      <c r="K75" s="321">
        <f>SUM('POSEBNI DIO 24-52'!O740,'POSEBNI DIO 24-52'!O655,'POSEBNI DIO 24-52'!O256,'POSEBNI DIO 24-52'!O285,'POSEBNI DIO 24-52'!O313,'POSEBNI DIO 24-52'!O500,'POSEBNI DIO 24-52'!O340,'POSEBNI DIO 24-52'!O65,)</f>
        <v>97900</v>
      </c>
      <c r="L75" s="321">
        <f>SUM('POSEBNI DIO 24-52'!P740,'POSEBNI DIO 24-52'!P655,'POSEBNI DIO 24-52'!P256,'POSEBNI DIO 24-52'!P285,'POSEBNI DIO 24-52'!P313,'POSEBNI DIO 24-52'!P500,'POSEBNI DIO 24-52'!P340,'POSEBNI DIO 24-52'!P65,)</f>
        <v>87900</v>
      </c>
    </row>
    <row r="76" spans="1:12" ht="24.75" customHeight="1">
      <c r="A76" s="277">
        <v>613600</v>
      </c>
      <c r="B76" s="322" t="s">
        <v>522</v>
      </c>
      <c r="C76" s="271">
        <f>SUM('POSEBNI DIO 24-52'!G66,'POSEBNI DIO 24-52'!G501,)</f>
        <v>20000</v>
      </c>
      <c r="D76" s="271">
        <f>SUM('POSEBNI DIO 24-52'!H66,'POSEBNI DIO 24-52'!H501,)</f>
        <v>0</v>
      </c>
      <c r="E76" s="271">
        <f>SUM('POSEBNI DIO 24-52'!I66,'POSEBNI DIO 24-52'!I501,)</f>
        <v>0</v>
      </c>
      <c r="F76" s="271">
        <f>SUM('POSEBNI DIO 24-52'!J66,'POSEBNI DIO 24-52'!J501,)</f>
        <v>20000</v>
      </c>
      <c r="G76" s="271">
        <f>SUM('POSEBNI DIO 24-52'!K66,'POSEBNI DIO 24-52'!K501,)</f>
        <v>0</v>
      </c>
      <c r="H76" s="271">
        <f>SUM('POSEBNI DIO 24-52'!L66,'POSEBNI DIO 24-52'!L501,)</f>
        <v>0</v>
      </c>
      <c r="I76" s="271">
        <f>SUM('POSEBNI DIO 24-52'!M66,'POSEBNI DIO 24-52'!M501,)</f>
        <v>0</v>
      </c>
      <c r="J76" s="271">
        <f>SUM('POSEBNI DIO 24-52'!N66,'POSEBNI DIO 24-52'!N501,)</f>
        <v>0</v>
      </c>
      <c r="K76" s="271">
        <f>SUM('POSEBNI DIO 24-52'!O66,'POSEBNI DIO 24-52'!O501,)</f>
        <v>20000</v>
      </c>
      <c r="L76" s="271">
        <f>SUM('POSEBNI DIO 24-52'!P66,'POSEBNI DIO 24-52'!P501,)</f>
        <v>20000</v>
      </c>
    </row>
    <row r="77" spans="1:12" ht="25.5" customHeight="1">
      <c r="A77" s="277">
        <v>613700</v>
      </c>
      <c r="B77" s="322" t="s">
        <v>122</v>
      </c>
      <c r="C77" s="271">
        <f aca="true" t="shared" si="27" ref="C77:L77">SUM(C78:C87)</f>
        <v>5651315.42</v>
      </c>
      <c r="D77" s="271">
        <f t="shared" si="27"/>
        <v>1505000</v>
      </c>
      <c r="E77" s="271">
        <f t="shared" si="27"/>
        <v>1450000</v>
      </c>
      <c r="F77" s="271">
        <f t="shared" si="27"/>
        <v>5706315.42</v>
      </c>
      <c r="G77" s="271">
        <f t="shared" si="27"/>
        <v>149947.6</v>
      </c>
      <c r="H77" s="271">
        <f t="shared" si="27"/>
        <v>0</v>
      </c>
      <c r="I77" s="271">
        <f t="shared" si="27"/>
        <v>0</v>
      </c>
      <c r="J77" s="271">
        <f t="shared" si="27"/>
        <v>149947.6</v>
      </c>
      <c r="K77" s="271">
        <f t="shared" si="27"/>
        <v>5801263.02</v>
      </c>
      <c r="L77" s="271">
        <f t="shared" si="27"/>
        <v>5856263.02</v>
      </c>
    </row>
    <row r="78" spans="1:12" ht="60" customHeight="1">
      <c r="A78" s="254">
        <v>613720</v>
      </c>
      <c r="B78" s="323" t="s">
        <v>432</v>
      </c>
      <c r="C78" s="256">
        <f>SUM('POSEBNI DIO 24-52'!G67,'POSEBNI DIO 24-52'!G141,'POSEBNI DIO 24-52'!G165,'POSEBNI DIO 24-52'!G257,'POSEBNI DIO 24-52'!G286,'POSEBNI DIO 24-52'!G314,'POSEBNI DIO 24-52'!G557,'POSEBNI DIO 24-52'!G590,'POSEBNI DIO 24-52'!G632,'POSEBNI DIO 24-52'!G656,'POSEBNI DIO 24-52'!G681,'POSEBNI DIO 24-52'!G741,'POSEBNI DIO 24-52'!G827,'POSEBNI DIO 24-52'!G850,'POSEBNI DIO 24-52'!G394,'POSEBNI DIO 24-52'!G502,'POSEBNI DIO 24-52'!G86,'POSEBNI DIO 24-52'!G872,'POSEBNI DIO 24-52'!G713,'POSEBNI DIO 24-52'!G341,'POSEBNI DIO 24-52'!G894,'POSEBNI DIO 24-52'!G526,'POSEBNI DIO 24-52'!G914,)</f>
        <v>209436</v>
      </c>
      <c r="D78" s="256">
        <f>SUM('POSEBNI DIO 24-52'!H67,'POSEBNI DIO 24-52'!H141,'POSEBNI DIO 24-52'!H165,'POSEBNI DIO 24-52'!H257,'POSEBNI DIO 24-52'!H286,'POSEBNI DIO 24-52'!H314,'POSEBNI DIO 24-52'!H557,'POSEBNI DIO 24-52'!H590,'POSEBNI DIO 24-52'!H632,'POSEBNI DIO 24-52'!H656,'POSEBNI DIO 24-52'!H681,'POSEBNI DIO 24-52'!H741,'POSEBNI DIO 24-52'!H827,'POSEBNI DIO 24-52'!H850,'POSEBNI DIO 24-52'!H394,'POSEBNI DIO 24-52'!H502,'POSEBNI DIO 24-52'!H86,'POSEBNI DIO 24-52'!H872,'POSEBNI DIO 24-52'!H713,'POSEBNI DIO 24-52'!H341,'POSEBNI DIO 24-52'!H894,'POSEBNI DIO 24-52'!H526,'POSEBNI DIO 24-52'!H914,)</f>
        <v>25000</v>
      </c>
      <c r="E78" s="256">
        <f>SUM('POSEBNI DIO 24-52'!I67,'POSEBNI DIO 24-52'!I141,'POSEBNI DIO 24-52'!I165,'POSEBNI DIO 24-52'!I257,'POSEBNI DIO 24-52'!I286,'POSEBNI DIO 24-52'!I314,'POSEBNI DIO 24-52'!I557,'POSEBNI DIO 24-52'!I590,'POSEBNI DIO 24-52'!I632,'POSEBNI DIO 24-52'!I656,'POSEBNI DIO 24-52'!I681,'POSEBNI DIO 24-52'!I741,'POSEBNI DIO 24-52'!I827,'POSEBNI DIO 24-52'!I850,'POSEBNI DIO 24-52'!I394,'POSEBNI DIO 24-52'!I502,'POSEBNI DIO 24-52'!I86,'POSEBNI DIO 24-52'!I872,'POSEBNI DIO 24-52'!I713,'POSEBNI DIO 24-52'!I341,'POSEBNI DIO 24-52'!I894,'POSEBNI DIO 24-52'!I526,'POSEBNI DIO 24-52'!I914,)</f>
        <v>0</v>
      </c>
      <c r="F78" s="256">
        <f>SUM('POSEBNI DIO 24-52'!J67,'POSEBNI DIO 24-52'!J141,'POSEBNI DIO 24-52'!J165,'POSEBNI DIO 24-52'!J257,'POSEBNI DIO 24-52'!J286,'POSEBNI DIO 24-52'!J314,'POSEBNI DIO 24-52'!J557,'POSEBNI DIO 24-52'!J590,'POSEBNI DIO 24-52'!J632,'POSEBNI DIO 24-52'!J656,'POSEBNI DIO 24-52'!J681,'POSEBNI DIO 24-52'!J741,'POSEBNI DIO 24-52'!J827,'POSEBNI DIO 24-52'!J850,'POSEBNI DIO 24-52'!J394,'POSEBNI DIO 24-52'!J502,'POSEBNI DIO 24-52'!J86,'POSEBNI DIO 24-52'!J872,'POSEBNI DIO 24-52'!J713,'POSEBNI DIO 24-52'!J341,'POSEBNI DIO 24-52'!J894,'POSEBNI DIO 24-52'!J526,'POSEBNI DIO 24-52'!J914,)</f>
        <v>234436</v>
      </c>
      <c r="G78" s="256">
        <f>SUM('POSEBNI DIO 24-52'!K67,'POSEBNI DIO 24-52'!K141,'POSEBNI DIO 24-52'!K165,'POSEBNI DIO 24-52'!K257,'POSEBNI DIO 24-52'!K286,'POSEBNI DIO 24-52'!K314,'POSEBNI DIO 24-52'!K557,'POSEBNI DIO 24-52'!K590,'POSEBNI DIO 24-52'!K632,'POSEBNI DIO 24-52'!K656,'POSEBNI DIO 24-52'!K681,'POSEBNI DIO 24-52'!K741,'POSEBNI DIO 24-52'!K827,'POSEBNI DIO 24-52'!K850,'POSEBNI DIO 24-52'!K394,'POSEBNI DIO 24-52'!K502,'POSEBNI DIO 24-52'!K86,'POSEBNI DIO 24-52'!K872,'POSEBNI DIO 24-52'!K713,'POSEBNI DIO 24-52'!K341,'POSEBNI DIO 24-52'!K894,'POSEBNI DIO 24-52'!K526,'POSEBNI DIO 24-52'!K914,)</f>
        <v>34947.6</v>
      </c>
      <c r="H78" s="256">
        <f>SUM('POSEBNI DIO 24-52'!L67,'POSEBNI DIO 24-52'!L141,'POSEBNI DIO 24-52'!L165,'POSEBNI DIO 24-52'!L257,'POSEBNI DIO 24-52'!L286,'POSEBNI DIO 24-52'!L314,'POSEBNI DIO 24-52'!L557,'POSEBNI DIO 24-52'!L590,'POSEBNI DIO 24-52'!L632,'POSEBNI DIO 24-52'!L656,'POSEBNI DIO 24-52'!L681,'POSEBNI DIO 24-52'!L741,'POSEBNI DIO 24-52'!L827,'POSEBNI DIO 24-52'!L850,'POSEBNI DIO 24-52'!L394,'POSEBNI DIO 24-52'!L502,'POSEBNI DIO 24-52'!L86,'POSEBNI DIO 24-52'!L872,'POSEBNI DIO 24-52'!L713,'POSEBNI DIO 24-52'!L341,'POSEBNI DIO 24-52'!L894,'POSEBNI DIO 24-52'!L526,'POSEBNI DIO 24-52'!L914,)</f>
        <v>0</v>
      </c>
      <c r="I78" s="256">
        <f>SUM('POSEBNI DIO 24-52'!M67,'POSEBNI DIO 24-52'!M141,'POSEBNI DIO 24-52'!M165,'POSEBNI DIO 24-52'!M257,'POSEBNI DIO 24-52'!M286,'POSEBNI DIO 24-52'!M314,'POSEBNI DIO 24-52'!M557,'POSEBNI DIO 24-52'!M590,'POSEBNI DIO 24-52'!M632,'POSEBNI DIO 24-52'!M656,'POSEBNI DIO 24-52'!M681,'POSEBNI DIO 24-52'!M741,'POSEBNI DIO 24-52'!M827,'POSEBNI DIO 24-52'!M850,'POSEBNI DIO 24-52'!M394,'POSEBNI DIO 24-52'!M502,'POSEBNI DIO 24-52'!M86,'POSEBNI DIO 24-52'!M872,'POSEBNI DIO 24-52'!M713,'POSEBNI DIO 24-52'!M341,'POSEBNI DIO 24-52'!M894,'POSEBNI DIO 24-52'!M526,'POSEBNI DIO 24-52'!M914,)</f>
        <v>0</v>
      </c>
      <c r="J78" s="256">
        <f>SUM('POSEBNI DIO 24-52'!N67,'POSEBNI DIO 24-52'!N141,'POSEBNI DIO 24-52'!N165,'POSEBNI DIO 24-52'!N257,'POSEBNI DIO 24-52'!N286,'POSEBNI DIO 24-52'!N314,'POSEBNI DIO 24-52'!N557,'POSEBNI DIO 24-52'!N590,'POSEBNI DIO 24-52'!N632,'POSEBNI DIO 24-52'!N656,'POSEBNI DIO 24-52'!N681,'POSEBNI DIO 24-52'!N741,'POSEBNI DIO 24-52'!N827,'POSEBNI DIO 24-52'!N850,'POSEBNI DIO 24-52'!N394,'POSEBNI DIO 24-52'!N502,'POSEBNI DIO 24-52'!N86,'POSEBNI DIO 24-52'!N872,'POSEBNI DIO 24-52'!N713,'POSEBNI DIO 24-52'!N341,'POSEBNI DIO 24-52'!N894,'POSEBNI DIO 24-52'!N526,'POSEBNI DIO 24-52'!N914,)</f>
        <v>34947.6</v>
      </c>
      <c r="K78" s="256">
        <f>SUM('POSEBNI DIO 24-52'!O67,'POSEBNI DIO 24-52'!O141,'POSEBNI DIO 24-52'!O165,'POSEBNI DIO 24-52'!O257,'POSEBNI DIO 24-52'!O286,'POSEBNI DIO 24-52'!O314,'POSEBNI DIO 24-52'!O557,'POSEBNI DIO 24-52'!O590,'POSEBNI DIO 24-52'!O632,'POSEBNI DIO 24-52'!O656,'POSEBNI DIO 24-52'!O681,'POSEBNI DIO 24-52'!O741,'POSEBNI DIO 24-52'!O827,'POSEBNI DIO 24-52'!O850,'POSEBNI DIO 24-52'!O394,'POSEBNI DIO 24-52'!O502,'POSEBNI DIO 24-52'!O86,'POSEBNI DIO 24-52'!O872,'POSEBNI DIO 24-52'!O713,'POSEBNI DIO 24-52'!O341,'POSEBNI DIO 24-52'!O894,'POSEBNI DIO 24-52'!O526,'POSEBNI DIO 24-52'!O914,)</f>
        <v>244383.6</v>
      </c>
      <c r="L78" s="256">
        <f>SUM('POSEBNI DIO 24-52'!P67,'POSEBNI DIO 24-52'!P141,'POSEBNI DIO 24-52'!P165,'POSEBNI DIO 24-52'!P257,'POSEBNI DIO 24-52'!P286,'POSEBNI DIO 24-52'!P314,'POSEBNI DIO 24-52'!P557,'POSEBNI DIO 24-52'!P590,'POSEBNI DIO 24-52'!P632,'POSEBNI DIO 24-52'!P656,'POSEBNI DIO 24-52'!P681,'POSEBNI DIO 24-52'!P741,'POSEBNI DIO 24-52'!P827,'POSEBNI DIO 24-52'!P850,'POSEBNI DIO 24-52'!P394,'POSEBNI DIO 24-52'!P502,'POSEBNI DIO 24-52'!P86,'POSEBNI DIO 24-52'!P872,'POSEBNI DIO 24-52'!P713,'POSEBNI DIO 24-52'!P341,'POSEBNI DIO 24-52'!P894,'POSEBNI DIO 24-52'!P526,'POSEBNI DIO 24-52'!P914,)</f>
        <v>269383.6</v>
      </c>
    </row>
    <row r="79" spans="1:12" ht="24.75" customHeight="1">
      <c r="A79" s="254">
        <v>613720</v>
      </c>
      <c r="B79" s="323" t="s">
        <v>171</v>
      </c>
      <c r="C79" s="256">
        <f>SUM('POSEBNI DIO 24-52'!G609,'POSEBNI DIO 24-52'!G235,)</f>
        <v>15000</v>
      </c>
      <c r="D79" s="256">
        <f>SUM('POSEBNI DIO 24-52'!H609,'POSEBNI DIO 24-52'!H235,)</f>
        <v>0</v>
      </c>
      <c r="E79" s="256">
        <f>SUM('POSEBNI DIO 24-52'!I609,'POSEBNI DIO 24-52'!I235,)</f>
        <v>0</v>
      </c>
      <c r="F79" s="256">
        <f>SUM('POSEBNI DIO 24-52'!J609,'POSEBNI DIO 24-52'!J235,)</f>
        <v>15000</v>
      </c>
      <c r="G79" s="256">
        <f>SUM('POSEBNI DIO 24-52'!K609,'POSEBNI DIO 24-52'!K235,)</f>
        <v>0</v>
      </c>
      <c r="H79" s="256">
        <f>SUM('POSEBNI DIO 24-52'!L609,'POSEBNI DIO 24-52'!L235,)</f>
        <v>0</v>
      </c>
      <c r="I79" s="256">
        <f>SUM('POSEBNI DIO 24-52'!M609,'POSEBNI DIO 24-52'!M235,)</f>
        <v>0</v>
      </c>
      <c r="J79" s="256">
        <f>SUM('POSEBNI DIO 24-52'!N609,'POSEBNI DIO 24-52'!N235,)</f>
        <v>0</v>
      </c>
      <c r="K79" s="256">
        <f>SUM('POSEBNI DIO 24-52'!O609,'POSEBNI DIO 24-52'!O235,)</f>
        <v>15000</v>
      </c>
      <c r="L79" s="256">
        <f>SUM('POSEBNI DIO 24-52'!P609,'POSEBNI DIO 24-52'!P235,)</f>
        <v>15000</v>
      </c>
    </row>
    <row r="80" spans="1:12" ht="24.75" customHeight="1">
      <c r="A80" s="254">
        <v>613720</v>
      </c>
      <c r="B80" s="1008" t="s">
        <v>1004</v>
      </c>
      <c r="C80" s="256">
        <f>SUM('POSEBNI DIO 24-52'!G633)</f>
        <v>30000</v>
      </c>
      <c r="D80" s="256">
        <f>SUM('POSEBNI DIO 24-52'!H633)</f>
        <v>0</v>
      </c>
      <c r="E80" s="256">
        <f>SUM('POSEBNI DIO 24-52'!I633)</f>
        <v>0</v>
      </c>
      <c r="F80" s="256">
        <f>SUM('POSEBNI DIO 24-52'!J633)</f>
        <v>30000</v>
      </c>
      <c r="G80" s="256">
        <f>SUM('POSEBNI DIO 24-52'!K633)</f>
        <v>0</v>
      </c>
      <c r="H80" s="256">
        <f>SUM('POSEBNI DIO 24-52'!L633)</f>
        <v>0</v>
      </c>
      <c r="I80" s="256">
        <f>SUM('POSEBNI DIO 24-52'!M633)</f>
        <v>0</v>
      </c>
      <c r="J80" s="256">
        <f>SUM('POSEBNI DIO 24-52'!N633)</f>
        <v>0</v>
      </c>
      <c r="K80" s="256">
        <f>SUM('POSEBNI DIO 24-52'!O633)</f>
        <v>30000</v>
      </c>
      <c r="L80" s="256">
        <f>SUM('POSEBNI DIO 24-52'!P633)</f>
        <v>30000</v>
      </c>
    </row>
    <row r="81" spans="1:12" ht="25.5" customHeight="1">
      <c r="A81" s="254">
        <v>613720</v>
      </c>
      <c r="B81" s="323" t="s">
        <v>170</v>
      </c>
      <c r="C81" s="256">
        <f>SUM('POSEBNI DIO 24-52'!G798,)</f>
        <v>250000</v>
      </c>
      <c r="D81" s="256">
        <f>SUM('POSEBNI DIO 24-52'!H798,)</f>
        <v>0</v>
      </c>
      <c r="E81" s="256">
        <f>SUM('POSEBNI DIO 24-52'!I798,)</f>
        <v>0</v>
      </c>
      <c r="F81" s="256">
        <f>SUM('POSEBNI DIO 24-52'!J798,)</f>
        <v>250000</v>
      </c>
      <c r="G81" s="256">
        <f>SUM('POSEBNI DIO 24-52'!K798,)</f>
        <v>0</v>
      </c>
      <c r="H81" s="256">
        <f>SUM('POSEBNI DIO 24-52'!L798,)</f>
        <v>0</v>
      </c>
      <c r="I81" s="256">
        <f>SUM('POSEBNI DIO 24-52'!M798,)</f>
        <v>0</v>
      </c>
      <c r="J81" s="256">
        <f>SUM('POSEBNI DIO 24-52'!N798,)</f>
        <v>0</v>
      </c>
      <c r="K81" s="256">
        <f>SUM('POSEBNI DIO 24-52'!O798,)</f>
        <v>250000</v>
      </c>
      <c r="L81" s="256">
        <f>SUM('POSEBNI DIO 24-52'!P798,)</f>
        <v>250000</v>
      </c>
    </row>
    <row r="82" spans="1:12" ht="53.25" customHeight="1">
      <c r="A82" s="254">
        <v>613720</v>
      </c>
      <c r="B82" s="964" t="s">
        <v>947</v>
      </c>
      <c r="C82" s="256">
        <f>SUM('POSEBNI DIO 24-52'!G742)</f>
        <v>30000</v>
      </c>
      <c r="D82" s="256">
        <f>SUM('POSEBNI DIO 24-52'!H742)</f>
        <v>0</v>
      </c>
      <c r="E82" s="256">
        <f>SUM('POSEBNI DIO 24-52'!I742)</f>
        <v>0</v>
      </c>
      <c r="F82" s="256">
        <f>SUM('POSEBNI DIO 24-52'!J742)</f>
        <v>30000</v>
      </c>
      <c r="G82" s="256">
        <f>SUM('POSEBNI DIO 24-52'!K742)</f>
        <v>0</v>
      </c>
      <c r="H82" s="256">
        <f>SUM('POSEBNI DIO 24-52'!L742)</f>
        <v>0</v>
      </c>
      <c r="I82" s="256">
        <f>SUM('POSEBNI DIO 24-52'!M742)</f>
        <v>0</v>
      </c>
      <c r="J82" s="256">
        <f>SUM('POSEBNI DIO 24-52'!N742)</f>
        <v>0</v>
      </c>
      <c r="K82" s="256">
        <f>SUM('POSEBNI DIO 24-52'!O742)</f>
        <v>30000</v>
      </c>
      <c r="L82" s="256">
        <f>SUM('POSEBNI DIO 24-52'!P742)</f>
        <v>30000</v>
      </c>
    </row>
    <row r="83" spans="1:12" ht="24.75" customHeight="1">
      <c r="A83" s="300">
        <v>613720</v>
      </c>
      <c r="B83" s="320" t="s">
        <v>457</v>
      </c>
      <c r="C83" s="256">
        <f>SUM('POSEBNI DIO 24-52'!G416:G420,'POSEBNI DIO 24-52'!G524,)</f>
        <v>2688113</v>
      </c>
      <c r="D83" s="256">
        <f>SUM('POSEBNI DIO 24-52'!H416:H420,'POSEBNI DIO 24-52'!H524,)</f>
        <v>120000</v>
      </c>
      <c r="E83" s="256">
        <f>SUM('POSEBNI DIO 24-52'!I416:I420,'POSEBNI DIO 24-52'!I524,)</f>
        <v>1050000</v>
      </c>
      <c r="F83" s="256">
        <f>SUM('POSEBNI DIO 24-52'!J416:J420,'POSEBNI DIO 24-52'!J524,)</f>
        <v>1758113</v>
      </c>
      <c r="G83" s="256">
        <f>SUM('POSEBNI DIO 24-52'!K416:K420,'POSEBNI DIO 24-52'!K524,)</f>
        <v>0</v>
      </c>
      <c r="H83" s="256">
        <f>SUM('POSEBNI DIO 24-52'!L416:L420,'POSEBNI DIO 24-52'!L524,)</f>
        <v>0</v>
      </c>
      <c r="I83" s="256">
        <f>SUM('POSEBNI DIO 24-52'!M416:M420,'POSEBNI DIO 24-52'!M524,)</f>
        <v>0</v>
      </c>
      <c r="J83" s="256">
        <f>SUM('POSEBNI DIO 24-52'!N416:N420,'POSEBNI DIO 24-52'!N524,)</f>
        <v>0</v>
      </c>
      <c r="K83" s="256">
        <f>SUM('POSEBNI DIO 24-52'!O416:O420,'POSEBNI DIO 24-52'!O524,)</f>
        <v>2688113</v>
      </c>
      <c r="L83" s="256">
        <f>SUM('POSEBNI DIO 24-52'!P416:P420,'POSEBNI DIO 24-52'!P524,)</f>
        <v>1758113</v>
      </c>
    </row>
    <row r="84" spans="1:12" ht="107.25" customHeight="1">
      <c r="A84" s="254">
        <v>613720</v>
      </c>
      <c r="B84" s="830" t="s">
        <v>964</v>
      </c>
      <c r="C84" s="256">
        <f>SUM('POSEBNI DIO 24-52'!G449:G451,'POSEBNI DIO 24-52'!G527,'POSEBNI DIO 24-52'!G453,'POSEBNI DIO 24-52'!G422,'POSEBNI DIO 24-52'!G421,'POSEBNI DIO 24-52'!G423:G424,'POSEBNI DIO 24-52'!G523,'POSEBNI DIO 24-52'!G525,)</f>
        <v>1088766.42</v>
      </c>
      <c r="D84" s="256">
        <f>SUM('POSEBNI DIO 24-52'!H449:H451,'POSEBNI DIO 24-52'!H527,'POSEBNI DIO 24-52'!H453,'POSEBNI DIO 24-52'!H422,'POSEBNI DIO 24-52'!H421,'POSEBNI DIO 24-52'!H423:H424,'POSEBNI DIO 24-52'!H523,'POSEBNI DIO 24-52'!H525,)</f>
        <v>1330000</v>
      </c>
      <c r="E84" s="256">
        <f>SUM('POSEBNI DIO 24-52'!I449:I451,'POSEBNI DIO 24-52'!I527,'POSEBNI DIO 24-52'!I453,'POSEBNI DIO 24-52'!I422,'POSEBNI DIO 24-52'!I421,'POSEBNI DIO 24-52'!I423:I424,'POSEBNI DIO 24-52'!I523,'POSEBNI DIO 24-52'!I525,)</f>
        <v>400000</v>
      </c>
      <c r="F84" s="256">
        <f>SUM('POSEBNI DIO 24-52'!J449:J451,'POSEBNI DIO 24-52'!J527,'POSEBNI DIO 24-52'!J453,'POSEBNI DIO 24-52'!J422,'POSEBNI DIO 24-52'!J421,'POSEBNI DIO 24-52'!J423:J424,'POSEBNI DIO 24-52'!J523,'POSEBNI DIO 24-52'!J525,)</f>
        <v>2018766.42</v>
      </c>
      <c r="G84" s="256">
        <f>SUM('POSEBNI DIO 24-52'!K449:K451,'POSEBNI DIO 24-52'!K527,'POSEBNI DIO 24-52'!K453,'POSEBNI DIO 24-52'!K422,'POSEBNI DIO 24-52'!K421,'POSEBNI DIO 24-52'!K423:K424,'POSEBNI DIO 24-52'!K523,'POSEBNI DIO 24-52'!K525,)</f>
        <v>0</v>
      </c>
      <c r="H84" s="256">
        <f>SUM('POSEBNI DIO 24-52'!L449:L451,'POSEBNI DIO 24-52'!L527,'POSEBNI DIO 24-52'!L453,'POSEBNI DIO 24-52'!L422,'POSEBNI DIO 24-52'!L421,'POSEBNI DIO 24-52'!L423:L424,'POSEBNI DIO 24-52'!L523,'POSEBNI DIO 24-52'!L525,)</f>
        <v>0</v>
      </c>
      <c r="I84" s="256">
        <f>SUM('POSEBNI DIO 24-52'!M449:M451,'POSEBNI DIO 24-52'!M527,'POSEBNI DIO 24-52'!M453,'POSEBNI DIO 24-52'!M422,'POSEBNI DIO 24-52'!M421,'POSEBNI DIO 24-52'!M423:M424,'POSEBNI DIO 24-52'!M523,'POSEBNI DIO 24-52'!M525,)</f>
        <v>0</v>
      </c>
      <c r="J84" s="256">
        <f>SUM('POSEBNI DIO 24-52'!N449:N451,'POSEBNI DIO 24-52'!N527,'POSEBNI DIO 24-52'!N453,'POSEBNI DIO 24-52'!N422,'POSEBNI DIO 24-52'!N421,'POSEBNI DIO 24-52'!N423:N424,'POSEBNI DIO 24-52'!N523,'POSEBNI DIO 24-52'!N525,)</f>
        <v>0</v>
      </c>
      <c r="K84" s="256">
        <f>SUM('POSEBNI DIO 24-52'!O449:O451,'POSEBNI DIO 24-52'!O527,'POSEBNI DIO 24-52'!O453,'POSEBNI DIO 24-52'!O422,'POSEBNI DIO 24-52'!O421,'POSEBNI DIO 24-52'!O423:O424,'POSEBNI DIO 24-52'!O523,'POSEBNI DIO 24-52'!O525,)</f>
        <v>1088766.42</v>
      </c>
      <c r="L84" s="256">
        <f>SUM('POSEBNI DIO 24-52'!P449:P451,'POSEBNI DIO 24-52'!P527,'POSEBNI DIO 24-52'!P453,'POSEBNI DIO 24-52'!P422,'POSEBNI DIO 24-52'!P421,'POSEBNI DIO 24-52'!P423:P424,'POSEBNI DIO 24-52'!P523,'POSEBNI DIO 24-52'!P525,)</f>
        <v>2018766.42</v>
      </c>
    </row>
    <row r="85" spans="1:12" ht="31.5" customHeight="1">
      <c r="A85" s="254">
        <v>613720</v>
      </c>
      <c r="B85" s="320" t="s">
        <v>242</v>
      </c>
      <c r="C85" s="256">
        <f>SUM('POSEBNI DIO 24-52'!G452,)</f>
        <v>800000</v>
      </c>
      <c r="D85" s="256">
        <f>SUM('POSEBNI DIO 24-52'!H452,)</f>
        <v>0</v>
      </c>
      <c r="E85" s="256">
        <f>SUM('POSEBNI DIO 24-52'!I452,)</f>
        <v>0</v>
      </c>
      <c r="F85" s="256">
        <f>SUM('POSEBNI DIO 24-52'!J452,)</f>
        <v>800000</v>
      </c>
      <c r="G85" s="256">
        <f>SUM('POSEBNI DIO 24-52'!K452,)</f>
        <v>0</v>
      </c>
      <c r="H85" s="256">
        <f>SUM('POSEBNI DIO 24-52'!L452,)</f>
        <v>0</v>
      </c>
      <c r="I85" s="256">
        <f>SUM('POSEBNI DIO 24-52'!M452,)</f>
        <v>0</v>
      </c>
      <c r="J85" s="256">
        <f>SUM('POSEBNI DIO 24-52'!N452,)</f>
        <v>0</v>
      </c>
      <c r="K85" s="256">
        <f>SUM('POSEBNI DIO 24-52'!O452,)</f>
        <v>800000</v>
      </c>
      <c r="L85" s="256">
        <f>SUM('POSEBNI DIO 24-52'!P452,)</f>
        <v>800000</v>
      </c>
    </row>
    <row r="86" spans="1:12" ht="57" customHeight="1">
      <c r="A86" s="254">
        <v>613720</v>
      </c>
      <c r="B86" s="325" t="s">
        <v>49</v>
      </c>
      <c r="C86" s="256">
        <f>SUM('POSEBNI DIO 24-52'!G778:G780,'POSEBNI DIO 24-52'!G767,'POSEBNI DIO 24-52'!G781,'POSEBNI DIO 24-52'!G743,)</f>
        <v>500000</v>
      </c>
      <c r="D86" s="256">
        <f>SUM('POSEBNI DIO 24-52'!H778:H780,'POSEBNI DIO 24-52'!H767,'POSEBNI DIO 24-52'!H781,'POSEBNI DIO 24-52'!H743,)</f>
        <v>30000</v>
      </c>
      <c r="E86" s="256">
        <f>SUM('POSEBNI DIO 24-52'!I778:I780,'POSEBNI DIO 24-52'!I767,'POSEBNI DIO 24-52'!I781,'POSEBNI DIO 24-52'!I743,)</f>
        <v>0</v>
      </c>
      <c r="F86" s="256">
        <f>SUM('POSEBNI DIO 24-52'!J778:J780,'POSEBNI DIO 24-52'!J767,'POSEBNI DIO 24-52'!J781,'POSEBNI DIO 24-52'!J743,)</f>
        <v>530000</v>
      </c>
      <c r="G86" s="256">
        <f>SUM('POSEBNI DIO 24-52'!K778:K780,'POSEBNI DIO 24-52'!K767,'POSEBNI DIO 24-52'!K781,'POSEBNI DIO 24-52'!K743,)</f>
        <v>115000</v>
      </c>
      <c r="H86" s="256">
        <f>SUM('POSEBNI DIO 24-52'!L778:L780,'POSEBNI DIO 24-52'!L767,'POSEBNI DIO 24-52'!L781,'POSEBNI DIO 24-52'!L743,)</f>
        <v>0</v>
      </c>
      <c r="I86" s="256">
        <f>SUM('POSEBNI DIO 24-52'!M778:M780,'POSEBNI DIO 24-52'!M767,'POSEBNI DIO 24-52'!M781,'POSEBNI DIO 24-52'!M743,)</f>
        <v>0</v>
      </c>
      <c r="J86" s="256">
        <f>SUM('POSEBNI DIO 24-52'!N778:N780,'POSEBNI DIO 24-52'!N767,'POSEBNI DIO 24-52'!N781,'POSEBNI DIO 24-52'!N743,)</f>
        <v>115000</v>
      </c>
      <c r="K86" s="256">
        <f>SUM('POSEBNI DIO 24-52'!O778:O780,'POSEBNI DIO 24-52'!O767,'POSEBNI DIO 24-52'!O781,'POSEBNI DIO 24-52'!O743,)</f>
        <v>615000</v>
      </c>
      <c r="L86" s="256">
        <f>SUM('POSEBNI DIO 24-52'!P778:P780,'POSEBNI DIO 24-52'!P767,'POSEBNI DIO 24-52'!P781,'POSEBNI DIO 24-52'!P743,)</f>
        <v>645000</v>
      </c>
    </row>
    <row r="87" spans="1:12" ht="36" customHeight="1">
      <c r="A87" s="254">
        <v>613720</v>
      </c>
      <c r="B87" s="834" t="s">
        <v>1172</v>
      </c>
      <c r="C87" s="256">
        <f>SUM('POSEBNI DIO 24-52'!G809)</f>
        <v>40000</v>
      </c>
      <c r="D87" s="256">
        <f>SUM('POSEBNI DIO 24-52'!H809)</f>
        <v>0</v>
      </c>
      <c r="E87" s="256">
        <f>SUM('POSEBNI DIO 24-52'!I809)</f>
        <v>0</v>
      </c>
      <c r="F87" s="256">
        <f>SUM('POSEBNI DIO 24-52'!J809)</f>
        <v>40000</v>
      </c>
      <c r="G87" s="256">
        <f>SUM('POSEBNI DIO 24-52'!K809)</f>
        <v>0</v>
      </c>
      <c r="H87" s="256">
        <f>SUM('POSEBNI DIO 24-52'!L809)</f>
        <v>0</v>
      </c>
      <c r="I87" s="256">
        <f>SUM('POSEBNI DIO 24-52'!M809)</f>
        <v>0</v>
      </c>
      <c r="J87" s="256">
        <f>SUM('POSEBNI DIO 24-52'!N809)</f>
        <v>0</v>
      </c>
      <c r="K87" s="256">
        <f>SUM('POSEBNI DIO 24-52'!O809)</f>
        <v>40000</v>
      </c>
      <c r="L87" s="256">
        <f>SUM('POSEBNI DIO 24-52'!P809)</f>
        <v>40000</v>
      </c>
    </row>
    <row r="88" spans="1:12" ht="29.25" customHeight="1">
      <c r="A88" s="277">
        <v>613800</v>
      </c>
      <c r="B88" s="326" t="s">
        <v>536</v>
      </c>
      <c r="C88" s="309">
        <f aca="true" t="shared" si="28" ref="C88:L88">SUM(C89:C90)</f>
        <v>82700</v>
      </c>
      <c r="D88" s="309">
        <f t="shared" si="28"/>
        <v>2000</v>
      </c>
      <c r="E88" s="309">
        <f t="shared" si="28"/>
        <v>0</v>
      </c>
      <c r="F88" s="309">
        <f t="shared" si="28"/>
        <v>84700</v>
      </c>
      <c r="G88" s="309">
        <f t="shared" si="28"/>
        <v>12300</v>
      </c>
      <c r="H88" s="309">
        <f t="shared" si="28"/>
        <v>0</v>
      </c>
      <c r="I88" s="309">
        <f t="shared" si="28"/>
        <v>0</v>
      </c>
      <c r="J88" s="309">
        <f t="shared" si="28"/>
        <v>12300</v>
      </c>
      <c r="K88" s="309">
        <f t="shared" si="28"/>
        <v>95000</v>
      </c>
      <c r="L88" s="309">
        <f t="shared" si="28"/>
        <v>97000</v>
      </c>
    </row>
    <row r="89" spans="1:12" ht="25.5" customHeight="1">
      <c r="A89" s="300">
        <v>613810</v>
      </c>
      <c r="B89" s="327" t="s">
        <v>154</v>
      </c>
      <c r="C89" s="321">
        <f>SUM('POSEBNI DIO 24-52'!G657,'POSEBNI DIO 24-52'!G714,'POSEBNI DIO 24-52'!G342,)</f>
        <v>48000</v>
      </c>
      <c r="D89" s="321">
        <f>SUM('POSEBNI DIO 24-52'!H657,'POSEBNI DIO 24-52'!H714,'POSEBNI DIO 24-52'!H342,)</f>
        <v>2000</v>
      </c>
      <c r="E89" s="321">
        <f>SUM('POSEBNI DIO 24-52'!I657,'POSEBNI DIO 24-52'!I714,'POSEBNI DIO 24-52'!I342,)</f>
        <v>0</v>
      </c>
      <c r="F89" s="321">
        <f>SUM('POSEBNI DIO 24-52'!J657,'POSEBNI DIO 24-52'!J714,'POSEBNI DIO 24-52'!J342,)</f>
        <v>50000</v>
      </c>
      <c r="G89" s="321">
        <f>SUM('POSEBNI DIO 24-52'!K657,'POSEBNI DIO 24-52'!K714,'POSEBNI DIO 24-52'!K342,)</f>
        <v>2000</v>
      </c>
      <c r="H89" s="321">
        <f>SUM('POSEBNI DIO 24-52'!L657,'POSEBNI DIO 24-52'!L714,'POSEBNI DIO 24-52'!L342,)</f>
        <v>0</v>
      </c>
      <c r="I89" s="321">
        <f>SUM('POSEBNI DIO 24-52'!M657,'POSEBNI DIO 24-52'!M714,'POSEBNI DIO 24-52'!M342,)</f>
        <v>0</v>
      </c>
      <c r="J89" s="321">
        <f>SUM('POSEBNI DIO 24-52'!N657,'POSEBNI DIO 24-52'!N714,'POSEBNI DIO 24-52'!N342,)</f>
        <v>2000</v>
      </c>
      <c r="K89" s="321">
        <f>SUM('POSEBNI DIO 24-52'!O657,'POSEBNI DIO 24-52'!O714,'POSEBNI DIO 24-52'!O342,)</f>
        <v>50000</v>
      </c>
      <c r="L89" s="321">
        <f>SUM('POSEBNI DIO 24-52'!P657,'POSEBNI DIO 24-52'!P714,'POSEBNI DIO 24-52'!P342,)</f>
        <v>52000</v>
      </c>
    </row>
    <row r="90" spans="1:12" ht="27" customHeight="1">
      <c r="A90" s="300">
        <v>613820</v>
      </c>
      <c r="B90" s="327" t="s">
        <v>155</v>
      </c>
      <c r="C90" s="321">
        <f>SUM('POSEBNI DIO 24-52'!G315,'POSEBNI DIO 24-52'!G287,'POSEBNI DIO 24-52'!G258,'POSEBNI DIO 24-52'!G142)</f>
        <v>34700</v>
      </c>
      <c r="D90" s="321">
        <f>SUM('POSEBNI DIO 24-52'!H315,'POSEBNI DIO 24-52'!H287,'POSEBNI DIO 24-52'!H258,'POSEBNI DIO 24-52'!H142)</f>
        <v>0</v>
      </c>
      <c r="E90" s="321">
        <f>SUM('POSEBNI DIO 24-52'!I315,'POSEBNI DIO 24-52'!I287,'POSEBNI DIO 24-52'!I258,'POSEBNI DIO 24-52'!I142)</f>
        <v>0</v>
      </c>
      <c r="F90" s="321">
        <f>SUM('POSEBNI DIO 24-52'!J315,'POSEBNI DIO 24-52'!J287,'POSEBNI DIO 24-52'!J258,'POSEBNI DIO 24-52'!J142)</f>
        <v>34700</v>
      </c>
      <c r="G90" s="321">
        <f>SUM('POSEBNI DIO 24-52'!K315,'POSEBNI DIO 24-52'!K287,'POSEBNI DIO 24-52'!K258,'POSEBNI DIO 24-52'!K142)</f>
        <v>10300</v>
      </c>
      <c r="H90" s="321">
        <f>SUM('POSEBNI DIO 24-52'!L315,'POSEBNI DIO 24-52'!L287,'POSEBNI DIO 24-52'!L258,'POSEBNI DIO 24-52'!L142)</f>
        <v>0</v>
      </c>
      <c r="I90" s="321">
        <f>SUM('POSEBNI DIO 24-52'!M315,'POSEBNI DIO 24-52'!M287,'POSEBNI DIO 24-52'!M258,'POSEBNI DIO 24-52'!M142)</f>
        <v>0</v>
      </c>
      <c r="J90" s="321">
        <f>SUM('POSEBNI DIO 24-52'!N315,'POSEBNI DIO 24-52'!N287,'POSEBNI DIO 24-52'!N258,'POSEBNI DIO 24-52'!N142)</f>
        <v>10300</v>
      </c>
      <c r="K90" s="321">
        <f>SUM('POSEBNI DIO 24-52'!O315,'POSEBNI DIO 24-52'!O287,'POSEBNI DIO 24-52'!O258,'POSEBNI DIO 24-52'!O142)</f>
        <v>45000</v>
      </c>
      <c r="L90" s="321">
        <f>SUM('POSEBNI DIO 24-52'!P315,'POSEBNI DIO 24-52'!P287,'POSEBNI DIO 24-52'!P258,'POSEBNI DIO 24-52'!P142)</f>
        <v>45000</v>
      </c>
    </row>
    <row r="91" spans="1:12" ht="30" customHeight="1">
      <c r="A91" s="277">
        <v>613900</v>
      </c>
      <c r="B91" s="322" t="s">
        <v>156</v>
      </c>
      <c r="C91" s="271">
        <f aca="true" t="shared" si="29" ref="C91:L91">SUM(C92:C110)</f>
        <v>4255235.27</v>
      </c>
      <c r="D91" s="271">
        <f t="shared" si="29"/>
        <v>49043.369999999995</v>
      </c>
      <c r="E91" s="271">
        <f t="shared" si="29"/>
        <v>97000</v>
      </c>
      <c r="F91" s="271">
        <f t="shared" si="29"/>
        <v>4207278.640000001</v>
      </c>
      <c r="G91" s="271">
        <f t="shared" si="29"/>
        <v>456063.18</v>
      </c>
      <c r="H91" s="271">
        <f t="shared" si="29"/>
        <v>0</v>
      </c>
      <c r="I91" s="271">
        <f t="shared" si="29"/>
        <v>0</v>
      </c>
      <c r="J91" s="271">
        <f t="shared" si="29"/>
        <v>456063.18</v>
      </c>
      <c r="K91" s="271">
        <f t="shared" si="29"/>
        <v>4711298.449999999</v>
      </c>
      <c r="L91" s="271">
        <f t="shared" si="29"/>
        <v>4663341.82</v>
      </c>
    </row>
    <row r="92" spans="1:12" ht="26.25" customHeight="1">
      <c r="A92" s="313">
        <v>613910</v>
      </c>
      <c r="B92" s="328" t="s">
        <v>433</v>
      </c>
      <c r="C92" s="321">
        <f>SUM('POSEBNI DIO 24-52'!G47,'POSEBNI DIO 24-52'!G68,'POSEBNI DIO 24-52'!G143,'POSEBNI DIO 24-52'!G166,'POSEBNI DIO 24-52'!G259,'POSEBNI DIO 24-52'!G288,'POSEBNI DIO 24-52'!G316,'POSEBNI DIO 24-52'!G558,'POSEBNI DIO 24-52'!G591,'POSEBNI DIO 24-52'!G634,'POSEBNI DIO 24-52'!G658,'POSEBNI DIO 24-52'!G682,'POSEBNI DIO 24-52'!G744,'POSEBNI DIO 24-52'!G828,'POSEBNI DIO 24-52'!G851,'POSEBNI DIO 24-52'!G395,'POSEBNI DIO 24-52'!G503,'POSEBNI DIO 24-52'!G895,'POSEBNI DIO 24-52'!G87,'POSEBNI DIO 24-52'!G873,'POSEBNI DIO 24-52'!G715,'POSEBNI DIO 24-52'!G343,'POSEBNI DIO 24-52'!G915,)</f>
        <v>335451.04</v>
      </c>
      <c r="D92" s="321">
        <f>SUM('POSEBNI DIO 24-52'!H47,'POSEBNI DIO 24-52'!H68,'POSEBNI DIO 24-52'!H143,'POSEBNI DIO 24-52'!H166,'POSEBNI DIO 24-52'!H259,'POSEBNI DIO 24-52'!H288,'POSEBNI DIO 24-52'!H316,'POSEBNI DIO 24-52'!H558,'POSEBNI DIO 24-52'!H591,'POSEBNI DIO 24-52'!H634,'POSEBNI DIO 24-52'!H658,'POSEBNI DIO 24-52'!H682,'POSEBNI DIO 24-52'!H744,'POSEBNI DIO 24-52'!H828,'POSEBNI DIO 24-52'!H851,'POSEBNI DIO 24-52'!H395,'POSEBNI DIO 24-52'!H503,'POSEBNI DIO 24-52'!H895,'POSEBNI DIO 24-52'!H87,'POSEBNI DIO 24-52'!H873,'POSEBNI DIO 24-52'!H715,'POSEBNI DIO 24-52'!H343,'POSEBNI DIO 24-52'!H915,)</f>
        <v>9043.369999999999</v>
      </c>
      <c r="E92" s="321">
        <f>SUM('POSEBNI DIO 24-52'!I47,'POSEBNI DIO 24-52'!I68,'POSEBNI DIO 24-52'!I143,'POSEBNI DIO 24-52'!I166,'POSEBNI DIO 24-52'!I259,'POSEBNI DIO 24-52'!I288,'POSEBNI DIO 24-52'!I316,'POSEBNI DIO 24-52'!I558,'POSEBNI DIO 24-52'!I591,'POSEBNI DIO 24-52'!I634,'POSEBNI DIO 24-52'!I658,'POSEBNI DIO 24-52'!I682,'POSEBNI DIO 24-52'!I744,'POSEBNI DIO 24-52'!I828,'POSEBNI DIO 24-52'!I851,'POSEBNI DIO 24-52'!I395,'POSEBNI DIO 24-52'!I503,'POSEBNI DIO 24-52'!I895,'POSEBNI DIO 24-52'!I87,'POSEBNI DIO 24-52'!I873,'POSEBNI DIO 24-52'!I715,'POSEBNI DIO 24-52'!I343,'POSEBNI DIO 24-52'!I915,)</f>
        <v>52000</v>
      </c>
      <c r="F92" s="321">
        <f>SUM('POSEBNI DIO 24-52'!J47,'POSEBNI DIO 24-52'!J68,'POSEBNI DIO 24-52'!J143,'POSEBNI DIO 24-52'!J166,'POSEBNI DIO 24-52'!J259,'POSEBNI DIO 24-52'!J288,'POSEBNI DIO 24-52'!J316,'POSEBNI DIO 24-52'!J558,'POSEBNI DIO 24-52'!J591,'POSEBNI DIO 24-52'!J634,'POSEBNI DIO 24-52'!J658,'POSEBNI DIO 24-52'!J682,'POSEBNI DIO 24-52'!J744,'POSEBNI DIO 24-52'!J828,'POSEBNI DIO 24-52'!J851,'POSEBNI DIO 24-52'!J395,'POSEBNI DIO 24-52'!J503,'POSEBNI DIO 24-52'!J895,'POSEBNI DIO 24-52'!J87,'POSEBNI DIO 24-52'!J873,'POSEBNI DIO 24-52'!J715,'POSEBNI DIO 24-52'!J343,'POSEBNI DIO 24-52'!J915,)</f>
        <v>292494.41</v>
      </c>
      <c r="G92" s="321">
        <f>SUM('POSEBNI DIO 24-52'!K47,'POSEBNI DIO 24-52'!K68,'POSEBNI DIO 24-52'!K143,'POSEBNI DIO 24-52'!K166,'POSEBNI DIO 24-52'!K259,'POSEBNI DIO 24-52'!K288,'POSEBNI DIO 24-52'!K316,'POSEBNI DIO 24-52'!K558,'POSEBNI DIO 24-52'!K591,'POSEBNI DIO 24-52'!K634,'POSEBNI DIO 24-52'!K658,'POSEBNI DIO 24-52'!K682,'POSEBNI DIO 24-52'!K744,'POSEBNI DIO 24-52'!K828,'POSEBNI DIO 24-52'!K851,'POSEBNI DIO 24-52'!K395,'POSEBNI DIO 24-52'!K503,'POSEBNI DIO 24-52'!K895,'POSEBNI DIO 24-52'!K87,'POSEBNI DIO 24-52'!K873,'POSEBNI DIO 24-52'!K715,'POSEBNI DIO 24-52'!K343,'POSEBNI DIO 24-52'!K915,)</f>
        <v>120506.26</v>
      </c>
      <c r="H92" s="321">
        <f>SUM('POSEBNI DIO 24-52'!L47,'POSEBNI DIO 24-52'!L68,'POSEBNI DIO 24-52'!L143,'POSEBNI DIO 24-52'!L166,'POSEBNI DIO 24-52'!L259,'POSEBNI DIO 24-52'!L288,'POSEBNI DIO 24-52'!L316,'POSEBNI DIO 24-52'!L558,'POSEBNI DIO 24-52'!L591,'POSEBNI DIO 24-52'!L634,'POSEBNI DIO 24-52'!L658,'POSEBNI DIO 24-52'!L682,'POSEBNI DIO 24-52'!L744,'POSEBNI DIO 24-52'!L828,'POSEBNI DIO 24-52'!L851,'POSEBNI DIO 24-52'!L395,'POSEBNI DIO 24-52'!L503,'POSEBNI DIO 24-52'!L895,'POSEBNI DIO 24-52'!L87,'POSEBNI DIO 24-52'!L873,'POSEBNI DIO 24-52'!L715,'POSEBNI DIO 24-52'!L343,'POSEBNI DIO 24-52'!L915,)</f>
        <v>0</v>
      </c>
      <c r="I92" s="321">
        <f>SUM('POSEBNI DIO 24-52'!M47,'POSEBNI DIO 24-52'!M68,'POSEBNI DIO 24-52'!M143,'POSEBNI DIO 24-52'!M166,'POSEBNI DIO 24-52'!M259,'POSEBNI DIO 24-52'!M288,'POSEBNI DIO 24-52'!M316,'POSEBNI DIO 24-52'!M558,'POSEBNI DIO 24-52'!M591,'POSEBNI DIO 24-52'!M634,'POSEBNI DIO 24-52'!M658,'POSEBNI DIO 24-52'!M682,'POSEBNI DIO 24-52'!M744,'POSEBNI DIO 24-52'!M828,'POSEBNI DIO 24-52'!M851,'POSEBNI DIO 24-52'!M395,'POSEBNI DIO 24-52'!M503,'POSEBNI DIO 24-52'!M895,'POSEBNI DIO 24-52'!M87,'POSEBNI DIO 24-52'!M873,'POSEBNI DIO 24-52'!M715,'POSEBNI DIO 24-52'!M343,'POSEBNI DIO 24-52'!M915,)</f>
        <v>0</v>
      </c>
      <c r="J92" s="321">
        <f>SUM('POSEBNI DIO 24-52'!N47,'POSEBNI DIO 24-52'!N68,'POSEBNI DIO 24-52'!N143,'POSEBNI DIO 24-52'!N166,'POSEBNI DIO 24-52'!N259,'POSEBNI DIO 24-52'!N288,'POSEBNI DIO 24-52'!N316,'POSEBNI DIO 24-52'!N558,'POSEBNI DIO 24-52'!N591,'POSEBNI DIO 24-52'!N634,'POSEBNI DIO 24-52'!N658,'POSEBNI DIO 24-52'!N682,'POSEBNI DIO 24-52'!N744,'POSEBNI DIO 24-52'!N828,'POSEBNI DIO 24-52'!N851,'POSEBNI DIO 24-52'!N395,'POSEBNI DIO 24-52'!N503,'POSEBNI DIO 24-52'!N895,'POSEBNI DIO 24-52'!N87,'POSEBNI DIO 24-52'!N873,'POSEBNI DIO 24-52'!N715,'POSEBNI DIO 24-52'!N343,'POSEBNI DIO 24-52'!N915,)</f>
        <v>120506.26</v>
      </c>
      <c r="K92" s="321">
        <f>SUM('POSEBNI DIO 24-52'!O47,'POSEBNI DIO 24-52'!O68,'POSEBNI DIO 24-52'!O143,'POSEBNI DIO 24-52'!O166,'POSEBNI DIO 24-52'!O259,'POSEBNI DIO 24-52'!O288,'POSEBNI DIO 24-52'!O316,'POSEBNI DIO 24-52'!O558,'POSEBNI DIO 24-52'!O591,'POSEBNI DIO 24-52'!O634,'POSEBNI DIO 24-52'!O658,'POSEBNI DIO 24-52'!O682,'POSEBNI DIO 24-52'!O744,'POSEBNI DIO 24-52'!O828,'POSEBNI DIO 24-52'!O851,'POSEBNI DIO 24-52'!O395,'POSEBNI DIO 24-52'!O503,'POSEBNI DIO 24-52'!O895,'POSEBNI DIO 24-52'!O87,'POSEBNI DIO 24-52'!O873,'POSEBNI DIO 24-52'!O715,'POSEBNI DIO 24-52'!O343,'POSEBNI DIO 24-52'!O915,)</f>
        <v>455957.3</v>
      </c>
      <c r="L92" s="321">
        <f>SUM('POSEBNI DIO 24-52'!P47,'POSEBNI DIO 24-52'!P68,'POSEBNI DIO 24-52'!P143,'POSEBNI DIO 24-52'!P166,'POSEBNI DIO 24-52'!P259,'POSEBNI DIO 24-52'!P288,'POSEBNI DIO 24-52'!P316,'POSEBNI DIO 24-52'!P558,'POSEBNI DIO 24-52'!P591,'POSEBNI DIO 24-52'!P634,'POSEBNI DIO 24-52'!P658,'POSEBNI DIO 24-52'!P682,'POSEBNI DIO 24-52'!P744,'POSEBNI DIO 24-52'!P828,'POSEBNI DIO 24-52'!P851,'POSEBNI DIO 24-52'!P395,'POSEBNI DIO 24-52'!P503,'POSEBNI DIO 24-52'!P895,'POSEBNI DIO 24-52'!P87,'POSEBNI DIO 24-52'!P873,'POSEBNI DIO 24-52'!P715,'POSEBNI DIO 24-52'!P343,'POSEBNI DIO 24-52'!P915,)</f>
        <v>413000.67</v>
      </c>
    </row>
    <row r="93" spans="1:12" ht="24.75" customHeight="1">
      <c r="A93" s="313">
        <v>613910</v>
      </c>
      <c r="B93" s="329" t="s">
        <v>203</v>
      </c>
      <c r="C93" s="321">
        <f>SUM('POSEBNI DIO 24-52'!G454,'POSEBNI DIO 24-52'!G362,)</f>
        <v>235234.25</v>
      </c>
      <c r="D93" s="321">
        <f>SUM('POSEBNI DIO 24-52'!H454,'POSEBNI DIO 24-52'!H362,)</f>
        <v>0</v>
      </c>
      <c r="E93" s="321">
        <f>SUM('POSEBNI DIO 24-52'!I454,'POSEBNI DIO 24-52'!I362,)</f>
        <v>0</v>
      </c>
      <c r="F93" s="321">
        <f>SUM('POSEBNI DIO 24-52'!J454,'POSEBNI DIO 24-52'!J362,)</f>
        <v>235234.25</v>
      </c>
      <c r="G93" s="321">
        <f>SUM('POSEBNI DIO 24-52'!K454,'POSEBNI DIO 24-52'!K362,)</f>
        <v>10000</v>
      </c>
      <c r="H93" s="321">
        <f>SUM('POSEBNI DIO 24-52'!L454,'POSEBNI DIO 24-52'!L362,)</f>
        <v>0</v>
      </c>
      <c r="I93" s="321">
        <f>SUM('POSEBNI DIO 24-52'!M454,'POSEBNI DIO 24-52'!M362,)</f>
        <v>0</v>
      </c>
      <c r="J93" s="321">
        <f>SUM('POSEBNI DIO 24-52'!N454,'POSEBNI DIO 24-52'!N362,)</f>
        <v>10000</v>
      </c>
      <c r="K93" s="321">
        <f>SUM('POSEBNI DIO 24-52'!O454,'POSEBNI DIO 24-52'!O362,)</f>
        <v>245234.25</v>
      </c>
      <c r="L93" s="321">
        <f>SUM('POSEBNI DIO 24-52'!P454,'POSEBNI DIO 24-52'!P362,)</f>
        <v>245234.25</v>
      </c>
    </row>
    <row r="94" spans="1:12" ht="24.75" customHeight="1">
      <c r="A94" s="313">
        <v>613930</v>
      </c>
      <c r="B94" s="329" t="s">
        <v>855</v>
      </c>
      <c r="C94" s="321">
        <f>SUM('POSEBNI DIO 24-52'!G344,)</f>
        <v>0</v>
      </c>
      <c r="D94" s="321">
        <f>SUM('POSEBNI DIO 24-52'!H344,)</f>
        <v>0</v>
      </c>
      <c r="E94" s="321">
        <f>SUM('POSEBNI DIO 24-52'!I344,)</f>
        <v>0</v>
      </c>
      <c r="F94" s="321">
        <f>SUM('POSEBNI DIO 24-52'!J344,)</f>
        <v>0</v>
      </c>
      <c r="G94" s="321">
        <f>SUM('POSEBNI DIO 24-52'!K344,)</f>
        <v>2000</v>
      </c>
      <c r="H94" s="321">
        <f>SUM('POSEBNI DIO 24-52'!L344,)</f>
        <v>0</v>
      </c>
      <c r="I94" s="321">
        <f>SUM('POSEBNI DIO 24-52'!M344,)</f>
        <v>0</v>
      </c>
      <c r="J94" s="321">
        <f>SUM('POSEBNI DIO 24-52'!N344,)</f>
        <v>2000</v>
      </c>
      <c r="K94" s="321">
        <f>SUM('POSEBNI DIO 24-52'!O344,)</f>
        <v>2000</v>
      </c>
      <c r="L94" s="321">
        <f>SUM('POSEBNI DIO 24-52'!P344,)</f>
        <v>2000</v>
      </c>
    </row>
    <row r="95" spans="1:12" ht="27" customHeight="1">
      <c r="A95" s="313">
        <v>613930</v>
      </c>
      <c r="B95" s="329" t="s">
        <v>540</v>
      </c>
      <c r="C95" s="321">
        <f>SUM('POSEBNI DIO 24-52'!G144,'POSEBNI DIO 24-52'!G167,'POSEBNI DIO 24-52'!G260,'POSEBNI DIO 24-52'!G289,'POSEBNI DIO 24-52'!G559,'POSEBNI DIO 24-52'!G592,'POSEBNI DIO 24-52'!G659,'POSEBNI DIO 24-52'!G88,'POSEBNI DIO 24-52'!G874,'POSEBNI DIO 24-52'!G829,'POSEBNI DIO 24-52'!G345,)</f>
        <v>135961.5</v>
      </c>
      <c r="D95" s="321">
        <f>SUM('POSEBNI DIO 24-52'!H144,'POSEBNI DIO 24-52'!H167,'POSEBNI DIO 24-52'!H260,'POSEBNI DIO 24-52'!H289,'POSEBNI DIO 24-52'!H559,'POSEBNI DIO 24-52'!H592,'POSEBNI DIO 24-52'!H659,'POSEBNI DIO 24-52'!H88,'POSEBNI DIO 24-52'!H874,'POSEBNI DIO 24-52'!H829,'POSEBNI DIO 24-52'!H345,)</f>
        <v>0</v>
      </c>
      <c r="E95" s="321">
        <f>SUM('POSEBNI DIO 24-52'!I144,'POSEBNI DIO 24-52'!I167,'POSEBNI DIO 24-52'!I260,'POSEBNI DIO 24-52'!I289,'POSEBNI DIO 24-52'!I559,'POSEBNI DIO 24-52'!I592,'POSEBNI DIO 24-52'!I659,'POSEBNI DIO 24-52'!I88,'POSEBNI DIO 24-52'!I874,'POSEBNI DIO 24-52'!I829,'POSEBNI DIO 24-52'!I345,)</f>
        <v>0</v>
      </c>
      <c r="F95" s="321">
        <f>SUM('POSEBNI DIO 24-52'!J144,'POSEBNI DIO 24-52'!J167,'POSEBNI DIO 24-52'!J260,'POSEBNI DIO 24-52'!J289,'POSEBNI DIO 24-52'!J559,'POSEBNI DIO 24-52'!J592,'POSEBNI DIO 24-52'!J659,'POSEBNI DIO 24-52'!J88,'POSEBNI DIO 24-52'!J874,'POSEBNI DIO 24-52'!J829,'POSEBNI DIO 24-52'!J345,)</f>
        <v>135961.5</v>
      </c>
      <c r="G95" s="321">
        <f>SUM('POSEBNI DIO 24-52'!K144,'POSEBNI DIO 24-52'!K167,'POSEBNI DIO 24-52'!K260,'POSEBNI DIO 24-52'!K289,'POSEBNI DIO 24-52'!K559,'POSEBNI DIO 24-52'!K592,'POSEBNI DIO 24-52'!K659,'POSEBNI DIO 24-52'!K88,'POSEBNI DIO 24-52'!K874,'POSEBNI DIO 24-52'!K829,'POSEBNI DIO 24-52'!K345,)</f>
        <v>8000</v>
      </c>
      <c r="H95" s="321">
        <f>SUM('POSEBNI DIO 24-52'!L144,'POSEBNI DIO 24-52'!L167,'POSEBNI DIO 24-52'!L260,'POSEBNI DIO 24-52'!L289,'POSEBNI DIO 24-52'!L559,'POSEBNI DIO 24-52'!L592,'POSEBNI DIO 24-52'!L659,'POSEBNI DIO 24-52'!L88,'POSEBNI DIO 24-52'!L874,'POSEBNI DIO 24-52'!L829,'POSEBNI DIO 24-52'!L345,)</f>
        <v>0</v>
      </c>
      <c r="I95" s="321">
        <f>SUM('POSEBNI DIO 24-52'!M144,'POSEBNI DIO 24-52'!M167,'POSEBNI DIO 24-52'!M260,'POSEBNI DIO 24-52'!M289,'POSEBNI DIO 24-52'!M559,'POSEBNI DIO 24-52'!M592,'POSEBNI DIO 24-52'!M659,'POSEBNI DIO 24-52'!M88,'POSEBNI DIO 24-52'!M874,'POSEBNI DIO 24-52'!M829,'POSEBNI DIO 24-52'!M345,)</f>
        <v>0</v>
      </c>
      <c r="J95" s="321">
        <f>SUM('POSEBNI DIO 24-52'!N144,'POSEBNI DIO 24-52'!N167,'POSEBNI DIO 24-52'!N260,'POSEBNI DIO 24-52'!N289,'POSEBNI DIO 24-52'!N559,'POSEBNI DIO 24-52'!N592,'POSEBNI DIO 24-52'!N659,'POSEBNI DIO 24-52'!N88,'POSEBNI DIO 24-52'!N874,'POSEBNI DIO 24-52'!N829,'POSEBNI DIO 24-52'!N345,)</f>
        <v>8000</v>
      </c>
      <c r="K95" s="321">
        <f>SUM('POSEBNI DIO 24-52'!O144,'POSEBNI DIO 24-52'!O167,'POSEBNI DIO 24-52'!O260,'POSEBNI DIO 24-52'!O289,'POSEBNI DIO 24-52'!O559,'POSEBNI DIO 24-52'!O592,'POSEBNI DIO 24-52'!O659,'POSEBNI DIO 24-52'!O88,'POSEBNI DIO 24-52'!O874,'POSEBNI DIO 24-52'!O829,'POSEBNI DIO 24-52'!O345,)</f>
        <v>143961.5</v>
      </c>
      <c r="L95" s="321">
        <f>SUM('POSEBNI DIO 24-52'!P144,'POSEBNI DIO 24-52'!P167,'POSEBNI DIO 24-52'!P260,'POSEBNI DIO 24-52'!P289,'POSEBNI DIO 24-52'!P559,'POSEBNI DIO 24-52'!P592,'POSEBNI DIO 24-52'!P659,'POSEBNI DIO 24-52'!P88,'POSEBNI DIO 24-52'!P874,'POSEBNI DIO 24-52'!P829,'POSEBNI DIO 24-52'!P345,)</f>
        <v>143961.5</v>
      </c>
    </row>
    <row r="96" spans="1:12" ht="27.75" customHeight="1">
      <c r="A96" s="257">
        <v>613950</v>
      </c>
      <c r="B96" s="330" t="s">
        <v>546</v>
      </c>
      <c r="C96" s="256">
        <f>SUM('POSEBNI DIO 24-52'!G561,'POSEBNI DIO 24-52'!G573,'POSEBNI DIO 24-52'!G574,)</f>
        <v>30000</v>
      </c>
      <c r="D96" s="256">
        <f>SUM('POSEBNI DIO 24-52'!H561,'POSEBNI DIO 24-52'!H573,'POSEBNI DIO 24-52'!H574,)</f>
        <v>0</v>
      </c>
      <c r="E96" s="256">
        <f>SUM('POSEBNI DIO 24-52'!I561,'POSEBNI DIO 24-52'!I573,'POSEBNI DIO 24-52'!I574,)</f>
        <v>0</v>
      </c>
      <c r="F96" s="256">
        <f>SUM('POSEBNI DIO 24-52'!J561,'POSEBNI DIO 24-52'!J573,'POSEBNI DIO 24-52'!J574,)</f>
        <v>30000</v>
      </c>
      <c r="G96" s="256">
        <f>SUM('POSEBNI DIO 24-52'!K561,'POSEBNI DIO 24-52'!K573,'POSEBNI DIO 24-52'!K574,)</f>
        <v>0</v>
      </c>
      <c r="H96" s="256">
        <f>SUM('POSEBNI DIO 24-52'!L561,'POSEBNI DIO 24-52'!L573,'POSEBNI DIO 24-52'!L574,)</f>
        <v>0</v>
      </c>
      <c r="I96" s="256">
        <f>SUM('POSEBNI DIO 24-52'!M561,'POSEBNI DIO 24-52'!M573,'POSEBNI DIO 24-52'!M574,)</f>
        <v>0</v>
      </c>
      <c r="J96" s="256">
        <f>SUM('POSEBNI DIO 24-52'!N561,'POSEBNI DIO 24-52'!N573,'POSEBNI DIO 24-52'!N574,)</f>
        <v>0</v>
      </c>
      <c r="K96" s="256">
        <f>SUM('POSEBNI DIO 24-52'!O561,'POSEBNI DIO 24-52'!O573,'POSEBNI DIO 24-52'!O574,)</f>
        <v>30000</v>
      </c>
      <c r="L96" s="256">
        <f>SUM('POSEBNI DIO 24-52'!P561,'POSEBNI DIO 24-52'!P573,'POSEBNI DIO 24-52'!P574,)</f>
        <v>30000</v>
      </c>
    </row>
    <row r="97" spans="1:12" ht="27" customHeight="1">
      <c r="A97" s="257">
        <v>613960</v>
      </c>
      <c r="B97" s="329" t="s">
        <v>854</v>
      </c>
      <c r="C97" s="256">
        <f>SUM('POSEBNI DIO 24-52'!G852,'POSEBNI DIO 24-52'!G261,)</f>
        <v>500000</v>
      </c>
      <c r="D97" s="256">
        <f>SUM('POSEBNI DIO 24-52'!H852,'POSEBNI DIO 24-52'!H261,)</f>
        <v>0</v>
      </c>
      <c r="E97" s="256">
        <f>SUM('POSEBNI DIO 24-52'!I852,'POSEBNI DIO 24-52'!I261,)</f>
        <v>40000</v>
      </c>
      <c r="F97" s="256">
        <f>SUM('POSEBNI DIO 24-52'!J852,'POSEBNI DIO 24-52'!J261,)</f>
        <v>460000</v>
      </c>
      <c r="G97" s="256">
        <f>SUM('POSEBNI DIO 24-52'!K852,'POSEBNI DIO 24-52'!K261,)</f>
        <v>1000</v>
      </c>
      <c r="H97" s="256">
        <f>SUM('POSEBNI DIO 24-52'!L852,'POSEBNI DIO 24-52'!L261,)</f>
        <v>0</v>
      </c>
      <c r="I97" s="256">
        <f>SUM('POSEBNI DIO 24-52'!M852,'POSEBNI DIO 24-52'!M261,)</f>
        <v>0</v>
      </c>
      <c r="J97" s="256">
        <f>SUM('POSEBNI DIO 24-52'!N852,'POSEBNI DIO 24-52'!N261,)</f>
        <v>1000</v>
      </c>
      <c r="K97" s="256">
        <f>SUM('POSEBNI DIO 24-52'!O852,'POSEBNI DIO 24-52'!O261,)</f>
        <v>501000</v>
      </c>
      <c r="L97" s="256">
        <f>SUM('POSEBNI DIO 24-52'!P852,'POSEBNI DIO 24-52'!P261,)</f>
        <v>461000</v>
      </c>
    </row>
    <row r="98" spans="1:12" ht="27" customHeight="1">
      <c r="A98" s="257">
        <v>613970</v>
      </c>
      <c r="B98" s="331" t="s">
        <v>434</v>
      </c>
      <c r="C98" s="256">
        <f>SUM('POSEBNI DIO 24-52'!G48,)</f>
        <v>380000</v>
      </c>
      <c r="D98" s="256">
        <f>SUM('POSEBNI DIO 24-52'!H48,)</f>
        <v>0</v>
      </c>
      <c r="E98" s="256">
        <f>SUM('POSEBNI DIO 24-52'!I48,)</f>
        <v>0</v>
      </c>
      <c r="F98" s="256">
        <f>SUM('POSEBNI DIO 24-52'!J48,)</f>
        <v>380000</v>
      </c>
      <c r="G98" s="256">
        <f>SUM('POSEBNI DIO 24-52'!K48,)</f>
        <v>0</v>
      </c>
      <c r="H98" s="256">
        <f>SUM('POSEBNI DIO 24-52'!L48,)</f>
        <v>0</v>
      </c>
      <c r="I98" s="256">
        <f>SUM('POSEBNI DIO 24-52'!M48,)</f>
        <v>0</v>
      </c>
      <c r="J98" s="256">
        <f>SUM('POSEBNI DIO 24-52'!N48,)</f>
        <v>0</v>
      </c>
      <c r="K98" s="256">
        <f>SUM('POSEBNI DIO 24-52'!O48,)</f>
        <v>380000</v>
      </c>
      <c r="L98" s="256">
        <f>SUM('POSEBNI DIO 24-52'!P48,)</f>
        <v>380000</v>
      </c>
    </row>
    <row r="99" spans="1:12" ht="26.25" customHeight="1">
      <c r="A99" s="257">
        <v>613970</v>
      </c>
      <c r="B99" s="310" t="s">
        <v>435</v>
      </c>
      <c r="C99" s="256">
        <f>SUM('POSEBNI DIO 24-52'!G49,)</f>
        <v>580000</v>
      </c>
      <c r="D99" s="256">
        <f>SUM('POSEBNI DIO 24-52'!H49,)</f>
        <v>0</v>
      </c>
      <c r="E99" s="256">
        <f>SUM('POSEBNI DIO 24-52'!I49,)</f>
        <v>0</v>
      </c>
      <c r="F99" s="256">
        <f>SUM('POSEBNI DIO 24-52'!J49,)</f>
        <v>580000</v>
      </c>
      <c r="G99" s="256">
        <f>SUM('POSEBNI DIO 24-52'!K49,)</f>
        <v>0</v>
      </c>
      <c r="H99" s="256">
        <f>SUM('POSEBNI DIO 24-52'!L49,)</f>
        <v>0</v>
      </c>
      <c r="I99" s="256">
        <f>SUM('POSEBNI DIO 24-52'!M49,)</f>
        <v>0</v>
      </c>
      <c r="J99" s="256">
        <f>SUM('POSEBNI DIO 24-52'!N49,)</f>
        <v>0</v>
      </c>
      <c r="K99" s="256">
        <f>SUM('POSEBNI DIO 24-52'!O49,)</f>
        <v>580000</v>
      </c>
      <c r="L99" s="256">
        <f>SUM('POSEBNI DIO 24-52'!P49,)</f>
        <v>580000</v>
      </c>
    </row>
    <row r="100" spans="1:12" ht="26.25" customHeight="1">
      <c r="A100" s="257">
        <v>613970</v>
      </c>
      <c r="B100" s="310" t="s">
        <v>543</v>
      </c>
      <c r="C100" s="256">
        <f>SUM('POSEBNI DIO 24-52'!G504,)</f>
        <v>490000</v>
      </c>
      <c r="D100" s="256">
        <f>SUM('POSEBNI DIO 24-52'!H504,)</f>
        <v>0</v>
      </c>
      <c r="E100" s="256">
        <f>SUM('POSEBNI DIO 24-52'!I504,)</f>
        <v>0</v>
      </c>
      <c r="F100" s="256">
        <f>SUM('POSEBNI DIO 24-52'!J504,)</f>
        <v>490000</v>
      </c>
      <c r="G100" s="256">
        <f>SUM('POSEBNI DIO 24-52'!K504,)</f>
        <v>0</v>
      </c>
      <c r="H100" s="256">
        <f>SUM('POSEBNI DIO 24-52'!L504,)</f>
        <v>0</v>
      </c>
      <c r="I100" s="256">
        <f>SUM('POSEBNI DIO 24-52'!M504,)</f>
        <v>0</v>
      </c>
      <c r="J100" s="256">
        <f>SUM('POSEBNI DIO 24-52'!N504,)</f>
        <v>0</v>
      </c>
      <c r="K100" s="256">
        <f>SUM('POSEBNI DIO 24-52'!O504,)</f>
        <v>490000</v>
      </c>
      <c r="L100" s="256">
        <f>SUM('POSEBNI DIO 24-52'!P504,)</f>
        <v>490000</v>
      </c>
    </row>
    <row r="101" spans="1:12" ht="26.25" customHeight="1">
      <c r="A101" s="257">
        <v>613970</v>
      </c>
      <c r="B101" s="310" t="s">
        <v>436</v>
      </c>
      <c r="C101" s="256">
        <f>SUM('POSEBNI DIO 24-52'!G69,)</f>
        <v>34000</v>
      </c>
      <c r="D101" s="256">
        <f>SUM('POSEBNI DIO 24-52'!H69,)</f>
        <v>0</v>
      </c>
      <c r="E101" s="256">
        <f>SUM('POSEBNI DIO 24-52'!I69,)</f>
        <v>0</v>
      </c>
      <c r="F101" s="256">
        <f>SUM('POSEBNI DIO 24-52'!J69,)</f>
        <v>34000</v>
      </c>
      <c r="G101" s="256">
        <f>SUM('POSEBNI DIO 24-52'!K69,)</f>
        <v>0</v>
      </c>
      <c r="H101" s="256">
        <f>SUM('POSEBNI DIO 24-52'!L69,)</f>
        <v>0</v>
      </c>
      <c r="I101" s="256">
        <f>SUM('POSEBNI DIO 24-52'!M69,)</f>
        <v>0</v>
      </c>
      <c r="J101" s="256">
        <f>SUM('POSEBNI DIO 24-52'!N69,)</f>
        <v>0</v>
      </c>
      <c r="K101" s="256">
        <f>SUM('POSEBNI DIO 24-52'!O69,)</f>
        <v>34000</v>
      </c>
      <c r="L101" s="256">
        <f>SUM('POSEBNI DIO 24-52'!P69,)</f>
        <v>34000</v>
      </c>
    </row>
    <row r="102" spans="1:12" ht="26.25" customHeight="1">
      <c r="A102" s="257">
        <v>613970</v>
      </c>
      <c r="B102" s="332" t="s">
        <v>544</v>
      </c>
      <c r="C102" s="256">
        <f>SUM('POSEBNI DIO 24-52'!G70,)</f>
        <v>86300</v>
      </c>
      <c r="D102" s="256">
        <f>SUM('POSEBNI DIO 24-52'!H70,)</f>
        <v>40000</v>
      </c>
      <c r="E102" s="256">
        <f>SUM('POSEBNI DIO 24-52'!I70,)</f>
        <v>0</v>
      </c>
      <c r="F102" s="256">
        <f>SUM('POSEBNI DIO 24-52'!J70,)</f>
        <v>126300</v>
      </c>
      <c r="G102" s="256">
        <f>SUM('POSEBNI DIO 24-52'!K70,)</f>
        <v>0</v>
      </c>
      <c r="H102" s="256">
        <f>SUM('POSEBNI DIO 24-52'!L70,)</f>
        <v>0</v>
      </c>
      <c r="I102" s="256">
        <f>SUM('POSEBNI DIO 24-52'!M70,)</f>
        <v>0</v>
      </c>
      <c r="J102" s="256">
        <f>SUM('POSEBNI DIO 24-52'!N70,)</f>
        <v>0</v>
      </c>
      <c r="K102" s="256">
        <f>SUM('POSEBNI DIO 24-52'!O70,)</f>
        <v>86300</v>
      </c>
      <c r="L102" s="256">
        <f>SUM('POSEBNI DIO 24-52'!P70,)</f>
        <v>126300</v>
      </c>
    </row>
    <row r="103" spans="1:12" ht="62.25" customHeight="1">
      <c r="A103" s="257">
        <v>613970</v>
      </c>
      <c r="B103" s="333" t="s">
        <v>53</v>
      </c>
      <c r="C103" s="256">
        <f>SUM('POSEBNI DIO 24-52'!G783,)</f>
        <v>0</v>
      </c>
      <c r="D103" s="256">
        <f>SUM('POSEBNI DIO 24-52'!H783,)</f>
        <v>0</v>
      </c>
      <c r="E103" s="256">
        <f>SUM('POSEBNI DIO 24-52'!I783,)</f>
        <v>0</v>
      </c>
      <c r="F103" s="256">
        <f>SUM('POSEBNI DIO 24-52'!J783,)</f>
        <v>0</v>
      </c>
      <c r="G103" s="256">
        <f>SUM('POSEBNI DIO 24-52'!K783,)</f>
        <v>0</v>
      </c>
      <c r="H103" s="256">
        <f>SUM('POSEBNI DIO 24-52'!L783,)</f>
        <v>0</v>
      </c>
      <c r="I103" s="256">
        <f>SUM('POSEBNI DIO 24-52'!M783,)</f>
        <v>0</v>
      </c>
      <c r="J103" s="256">
        <f>SUM('POSEBNI DIO 24-52'!N783,)</f>
        <v>0</v>
      </c>
      <c r="K103" s="256">
        <f>SUM('POSEBNI DIO 24-52'!O783,)</f>
        <v>0</v>
      </c>
      <c r="L103" s="256">
        <f>SUM('POSEBNI DIO 24-52'!P783,)</f>
        <v>0</v>
      </c>
    </row>
    <row r="104" spans="1:12" ht="25.5" customHeight="1">
      <c r="A104" s="257">
        <v>613970</v>
      </c>
      <c r="B104" s="330" t="s">
        <v>173</v>
      </c>
      <c r="C104" s="256">
        <f>SUM('POSEBNI DIO 24-52'!G560,'POSEBNI DIO 24-52'!G90,)</f>
        <v>15000</v>
      </c>
      <c r="D104" s="256">
        <f>SUM('POSEBNI DIO 24-52'!H560,'POSEBNI DIO 24-52'!H90,)</f>
        <v>0</v>
      </c>
      <c r="E104" s="256">
        <f>SUM('POSEBNI DIO 24-52'!I560,'POSEBNI DIO 24-52'!I90,)</f>
        <v>0</v>
      </c>
      <c r="F104" s="256">
        <f>SUM('POSEBNI DIO 24-52'!J560,'POSEBNI DIO 24-52'!J90,)</f>
        <v>15000</v>
      </c>
      <c r="G104" s="256">
        <f>SUM('POSEBNI DIO 24-52'!K560,'POSEBNI DIO 24-52'!K90,)</f>
        <v>75000</v>
      </c>
      <c r="H104" s="256">
        <f>SUM('POSEBNI DIO 24-52'!L560,'POSEBNI DIO 24-52'!L90,)</f>
        <v>0</v>
      </c>
      <c r="I104" s="256">
        <f>SUM('POSEBNI DIO 24-52'!M560,'POSEBNI DIO 24-52'!M90,)</f>
        <v>0</v>
      </c>
      <c r="J104" s="256">
        <f>SUM('POSEBNI DIO 24-52'!N560,'POSEBNI DIO 24-52'!N90,)</f>
        <v>75000</v>
      </c>
      <c r="K104" s="256">
        <f>SUM('POSEBNI DIO 24-52'!O560,'POSEBNI DIO 24-52'!O90,)</f>
        <v>90000</v>
      </c>
      <c r="L104" s="256">
        <f>SUM('POSEBNI DIO 24-52'!P560,'POSEBNI DIO 24-52'!P90,)</f>
        <v>90000</v>
      </c>
    </row>
    <row r="105" spans="1:12" ht="27.75" customHeight="1">
      <c r="A105" s="257">
        <v>613970</v>
      </c>
      <c r="B105" s="330" t="s">
        <v>532</v>
      </c>
      <c r="C105" s="256">
        <f>SUM('POSEBNI DIO 24-52'!G145,'POSEBNI DIO 24-52'!G168,'POSEBNI DIO 24-52'!G263,'POSEBNI DIO 24-52'!G291,'POSEBNI DIO 24-52'!G317,'POSEBNI DIO 24-52'!G396,'POSEBNI DIO 24-52'!G505,'POSEBNI DIO 24-52'!G660,'POSEBNI DIO 24-52'!G745,'POSEBNI DIO 24-52'!G91,'POSEBNI DIO 24-52'!G875,'POSEBNI DIO 24-52'!G71,'POSEBNI DIO 24-52'!G346,'POSEBNI DIO 24-52'!G830,'POSEBNI DIO 24-52'!G916,'POSEBNI DIO 24-52'!G593,'POSEBNI DIO 24-52'!G782,)</f>
        <v>332598.07999999996</v>
      </c>
      <c r="D105" s="256">
        <f>SUM('POSEBNI DIO 24-52'!H145,'POSEBNI DIO 24-52'!H168,'POSEBNI DIO 24-52'!H263,'POSEBNI DIO 24-52'!H291,'POSEBNI DIO 24-52'!H317,'POSEBNI DIO 24-52'!H396,'POSEBNI DIO 24-52'!H505,'POSEBNI DIO 24-52'!H660,'POSEBNI DIO 24-52'!H745,'POSEBNI DIO 24-52'!H91,'POSEBNI DIO 24-52'!H875,'POSEBNI DIO 24-52'!H71,'POSEBNI DIO 24-52'!H346,'POSEBNI DIO 24-52'!H830,'POSEBNI DIO 24-52'!H916,'POSEBNI DIO 24-52'!H593,'POSEBNI DIO 24-52'!H782,)</f>
        <v>0</v>
      </c>
      <c r="E105" s="256">
        <f>SUM('POSEBNI DIO 24-52'!I145,'POSEBNI DIO 24-52'!I168,'POSEBNI DIO 24-52'!I263,'POSEBNI DIO 24-52'!I291,'POSEBNI DIO 24-52'!I317,'POSEBNI DIO 24-52'!I396,'POSEBNI DIO 24-52'!I505,'POSEBNI DIO 24-52'!I660,'POSEBNI DIO 24-52'!I745,'POSEBNI DIO 24-52'!I91,'POSEBNI DIO 24-52'!I875,'POSEBNI DIO 24-52'!I71,'POSEBNI DIO 24-52'!I346,'POSEBNI DIO 24-52'!I830,'POSEBNI DIO 24-52'!I916,'POSEBNI DIO 24-52'!I593,'POSEBNI DIO 24-52'!I782,)</f>
        <v>5000</v>
      </c>
      <c r="F105" s="256">
        <f>SUM('POSEBNI DIO 24-52'!J145,'POSEBNI DIO 24-52'!J168,'POSEBNI DIO 24-52'!J263,'POSEBNI DIO 24-52'!J291,'POSEBNI DIO 24-52'!J317,'POSEBNI DIO 24-52'!J396,'POSEBNI DIO 24-52'!J505,'POSEBNI DIO 24-52'!J660,'POSEBNI DIO 24-52'!J745,'POSEBNI DIO 24-52'!J91,'POSEBNI DIO 24-52'!J875,'POSEBNI DIO 24-52'!J71,'POSEBNI DIO 24-52'!J346,'POSEBNI DIO 24-52'!J830,'POSEBNI DIO 24-52'!J916,'POSEBNI DIO 24-52'!J593,'POSEBNI DIO 24-52'!J782,)</f>
        <v>327598.07999999996</v>
      </c>
      <c r="G105" s="256">
        <f>SUM('POSEBNI DIO 24-52'!K145,'POSEBNI DIO 24-52'!K168,'POSEBNI DIO 24-52'!K263,'POSEBNI DIO 24-52'!K291,'POSEBNI DIO 24-52'!K317,'POSEBNI DIO 24-52'!K396,'POSEBNI DIO 24-52'!K505,'POSEBNI DIO 24-52'!K660,'POSEBNI DIO 24-52'!K745,'POSEBNI DIO 24-52'!K91,'POSEBNI DIO 24-52'!K875,'POSEBNI DIO 24-52'!K71,'POSEBNI DIO 24-52'!K346,'POSEBNI DIO 24-52'!K830,'POSEBNI DIO 24-52'!K916,'POSEBNI DIO 24-52'!K593,'POSEBNI DIO 24-52'!K782,)</f>
        <v>61665.61</v>
      </c>
      <c r="H105" s="256">
        <f>SUM('POSEBNI DIO 24-52'!L145,'POSEBNI DIO 24-52'!L168,'POSEBNI DIO 24-52'!L263,'POSEBNI DIO 24-52'!L291,'POSEBNI DIO 24-52'!L317,'POSEBNI DIO 24-52'!L396,'POSEBNI DIO 24-52'!L505,'POSEBNI DIO 24-52'!L660,'POSEBNI DIO 24-52'!L745,'POSEBNI DIO 24-52'!L91,'POSEBNI DIO 24-52'!L875,'POSEBNI DIO 24-52'!L71,'POSEBNI DIO 24-52'!L346,'POSEBNI DIO 24-52'!L830,'POSEBNI DIO 24-52'!L916,'POSEBNI DIO 24-52'!L593,'POSEBNI DIO 24-52'!L782,)</f>
        <v>0</v>
      </c>
      <c r="I105" s="256">
        <f>SUM('POSEBNI DIO 24-52'!M145,'POSEBNI DIO 24-52'!M168,'POSEBNI DIO 24-52'!M263,'POSEBNI DIO 24-52'!M291,'POSEBNI DIO 24-52'!M317,'POSEBNI DIO 24-52'!M396,'POSEBNI DIO 24-52'!M505,'POSEBNI DIO 24-52'!M660,'POSEBNI DIO 24-52'!M745,'POSEBNI DIO 24-52'!M91,'POSEBNI DIO 24-52'!M875,'POSEBNI DIO 24-52'!M71,'POSEBNI DIO 24-52'!M346,'POSEBNI DIO 24-52'!M830,'POSEBNI DIO 24-52'!M916,'POSEBNI DIO 24-52'!M593,'POSEBNI DIO 24-52'!M782,)</f>
        <v>0</v>
      </c>
      <c r="J105" s="256">
        <f>SUM('POSEBNI DIO 24-52'!N145,'POSEBNI DIO 24-52'!N168,'POSEBNI DIO 24-52'!N263,'POSEBNI DIO 24-52'!N291,'POSEBNI DIO 24-52'!N317,'POSEBNI DIO 24-52'!N396,'POSEBNI DIO 24-52'!N505,'POSEBNI DIO 24-52'!N660,'POSEBNI DIO 24-52'!N745,'POSEBNI DIO 24-52'!N91,'POSEBNI DIO 24-52'!N875,'POSEBNI DIO 24-52'!N71,'POSEBNI DIO 24-52'!N346,'POSEBNI DIO 24-52'!N830,'POSEBNI DIO 24-52'!N916,'POSEBNI DIO 24-52'!N593,'POSEBNI DIO 24-52'!N782,)</f>
        <v>61665.61</v>
      </c>
      <c r="K105" s="256">
        <f>SUM('POSEBNI DIO 24-52'!O145,'POSEBNI DIO 24-52'!O168,'POSEBNI DIO 24-52'!O263,'POSEBNI DIO 24-52'!O291,'POSEBNI DIO 24-52'!O317,'POSEBNI DIO 24-52'!O396,'POSEBNI DIO 24-52'!O505,'POSEBNI DIO 24-52'!O660,'POSEBNI DIO 24-52'!O745,'POSEBNI DIO 24-52'!O91,'POSEBNI DIO 24-52'!O875,'POSEBNI DIO 24-52'!O71,'POSEBNI DIO 24-52'!O346,'POSEBNI DIO 24-52'!O830,'POSEBNI DIO 24-52'!O916,'POSEBNI DIO 24-52'!O593,'POSEBNI DIO 24-52'!O782,)</f>
        <v>394263.68999999994</v>
      </c>
      <c r="L105" s="256">
        <f>SUM('POSEBNI DIO 24-52'!P145,'POSEBNI DIO 24-52'!P168,'POSEBNI DIO 24-52'!P263,'POSEBNI DIO 24-52'!P291,'POSEBNI DIO 24-52'!P317,'POSEBNI DIO 24-52'!P396,'POSEBNI DIO 24-52'!P505,'POSEBNI DIO 24-52'!P660,'POSEBNI DIO 24-52'!P745,'POSEBNI DIO 24-52'!P91,'POSEBNI DIO 24-52'!P875,'POSEBNI DIO 24-52'!P71,'POSEBNI DIO 24-52'!P346,'POSEBNI DIO 24-52'!P830,'POSEBNI DIO 24-52'!P916,'POSEBNI DIO 24-52'!P593,'POSEBNI DIO 24-52'!P782,)</f>
        <v>389263.68999999994</v>
      </c>
    </row>
    <row r="106" spans="1:12" ht="24" customHeight="1">
      <c r="A106" s="313">
        <v>613970</v>
      </c>
      <c r="B106" s="329" t="s">
        <v>205</v>
      </c>
      <c r="C106" s="321">
        <f>SUM('POSEBNI DIO 24-52'!G262,'POSEBNI DIO 24-52'!G290,'POSEBNI DIO 24-52'!G89,)</f>
        <v>89600</v>
      </c>
      <c r="D106" s="321">
        <f>SUM('POSEBNI DIO 24-52'!H262,'POSEBNI DIO 24-52'!H290,'POSEBNI DIO 24-52'!H89,)</f>
        <v>0</v>
      </c>
      <c r="E106" s="321">
        <f>SUM('POSEBNI DIO 24-52'!I262,'POSEBNI DIO 24-52'!I290,'POSEBNI DIO 24-52'!I89,)</f>
        <v>0</v>
      </c>
      <c r="F106" s="321">
        <f>SUM('POSEBNI DIO 24-52'!J262,'POSEBNI DIO 24-52'!J290,'POSEBNI DIO 24-52'!J89,)</f>
        <v>89600</v>
      </c>
      <c r="G106" s="321">
        <f>SUM('POSEBNI DIO 24-52'!K262,'POSEBNI DIO 24-52'!K290,'POSEBNI DIO 24-52'!K89,)</f>
        <v>8891.31</v>
      </c>
      <c r="H106" s="321">
        <f>SUM('POSEBNI DIO 24-52'!L262,'POSEBNI DIO 24-52'!L290,'POSEBNI DIO 24-52'!L89,)</f>
        <v>0</v>
      </c>
      <c r="I106" s="321">
        <f>SUM('POSEBNI DIO 24-52'!M262,'POSEBNI DIO 24-52'!M290,'POSEBNI DIO 24-52'!M89,)</f>
        <v>0</v>
      </c>
      <c r="J106" s="321">
        <f>SUM('POSEBNI DIO 24-52'!N262,'POSEBNI DIO 24-52'!N290,'POSEBNI DIO 24-52'!N89,)</f>
        <v>8891.31</v>
      </c>
      <c r="K106" s="321">
        <f>SUM('POSEBNI DIO 24-52'!O262,'POSEBNI DIO 24-52'!O290,'POSEBNI DIO 24-52'!O89,)</f>
        <v>98491.31</v>
      </c>
      <c r="L106" s="321">
        <f>SUM('POSEBNI DIO 24-52'!P262,'POSEBNI DIO 24-52'!P290,'POSEBNI DIO 24-52'!P89,)</f>
        <v>98491.31</v>
      </c>
    </row>
    <row r="107" spans="1:12" ht="24.75" customHeight="1">
      <c r="A107" s="313">
        <v>613990</v>
      </c>
      <c r="B107" s="329" t="s">
        <v>206</v>
      </c>
      <c r="C107" s="321">
        <f>SUM('POSEBNI DIO 24-52'!G784:G785,)</f>
        <v>452490.4</v>
      </c>
      <c r="D107" s="321">
        <f>SUM('POSEBNI DIO 24-52'!H784:H785,)</f>
        <v>0</v>
      </c>
      <c r="E107" s="321">
        <f>SUM('POSEBNI DIO 24-52'!I784:I785,)</f>
        <v>0</v>
      </c>
      <c r="F107" s="321">
        <f>SUM('POSEBNI DIO 24-52'!J784:J785,)</f>
        <v>452490.4</v>
      </c>
      <c r="G107" s="321">
        <f>SUM('POSEBNI DIO 24-52'!K784:K785,)</f>
        <v>110000</v>
      </c>
      <c r="H107" s="321">
        <f>SUM('POSEBNI DIO 24-52'!L784:L785,)</f>
        <v>0</v>
      </c>
      <c r="I107" s="321">
        <f>SUM('POSEBNI DIO 24-52'!M784:M785,)</f>
        <v>0</v>
      </c>
      <c r="J107" s="321">
        <f>SUM('POSEBNI DIO 24-52'!N784:N785,)</f>
        <v>110000</v>
      </c>
      <c r="K107" s="321">
        <f>SUM('POSEBNI DIO 24-52'!O784:O785,)</f>
        <v>562490.4</v>
      </c>
      <c r="L107" s="321">
        <f>SUM('POSEBNI DIO 24-52'!P784:P785,)</f>
        <v>562490.4</v>
      </c>
    </row>
    <row r="108" spans="1:12" ht="27" customHeight="1">
      <c r="A108" s="313">
        <v>613990</v>
      </c>
      <c r="B108" s="329" t="s">
        <v>256</v>
      </c>
      <c r="C108" s="312">
        <f>SUM('POSEBNI DIO 24-52'!G506,'POSEBNI DIO 24-52'!G746,'POSEBNI DIO 24-52'!G319,'POSEBNI DIO 24-52'!G456,'POSEBNI DIO 24-52'!G318,'POSEBNI DIO 24-52'!G799,'POSEBNI DIO 24-52'!G347,'POSEBNI DIO 24-52'!G350,'POSEBNI DIO 24-52'!G610,'POSEBNI DIO 24-52'!G237,)</f>
        <v>384000</v>
      </c>
      <c r="D108" s="312">
        <f>SUM('POSEBNI DIO 24-52'!H506,'POSEBNI DIO 24-52'!H746,'POSEBNI DIO 24-52'!H319,'POSEBNI DIO 24-52'!H456,'POSEBNI DIO 24-52'!H318,'POSEBNI DIO 24-52'!H799,'POSEBNI DIO 24-52'!H347,'POSEBNI DIO 24-52'!H350,'POSEBNI DIO 24-52'!H610,'POSEBNI DIO 24-52'!H237,)</f>
        <v>0</v>
      </c>
      <c r="E108" s="312">
        <f>SUM('POSEBNI DIO 24-52'!I506,'POSEBNI DIO 24-52'!I746,'POSEBNI DIO 24-52'!I319,'POSEBNI DIO 24-52'!I456,'POSEBNI DIO 24-52'!I318,'POSEBNI DIO 24-52'!I799,'POSEBNI DIO 24-52'!I347,'POSEBNI DIO 24-52'!I350,'POSEBNI DIO 24-52'!I610,'POSEBNI DIO 24-52'!I237,)</f>
        <v>0</v>
      </c>
      <c r="F108" s="312">
        <f>SUM('POSEBNI DIO 24-52'!J506,'POSEBNI DIO 24-52'!J746,'POSEBNI DIO 24-52'!J319,'POSEBNI DIO 24-52'!J456,'POSEBNI DIO 24-52'!J318,'POSEBNI DIO 24-52'!J799,'POSEBNI DIO 24-52'!J347,'POSEBNI DIO 24-52'!J350,'POSEBNI DIO 24-52'!J610,'POSEBNI DIO 24-52'!J237,)</f>
        <v>384000</v>
      </c>
      <c r="G108" s="312">
        <f>SUM('POSEBNI DIO 24-52'!K506,'POSEBNI DIO 24-52'!K746,'POSEBNI DIO 24-52'!K319,'POSEBNI DIO 24-52'!K456,'POSEBNI DIO 24-52'!K318,'POSEBNI DIO 24-52'!K799,'POSEBNI DIO 24-52'!K347,'POSEBNI DIO 24-52'!K350,'POSEBNI DIO 24-52'!K610,'POSEBNI DIO 24-52'!K237,)</f>
        <v>43000</v>
      </c>
      <c r="H108" s="312">
        <f>SUM('POSEBNI DIO 24-52'!L506,'POSEBNI DIO 24-52'!L746,'POSEBNI DIO 24-52'!L319,'POSEBNI DIO 24-52'!L456,'POSEBNI DIO 24-52'!L318,'POSEBNI DIO 24-52'!L799,'POSEBNI DIO 24-52'!L347,'POSEBNI DIO 24-52'!L350,'POSEBNI DIO 24-52'!L610,'POSEBNI DIO 24-52'!L237,)</f>
        <v>0</v>
      </c>
      <c r="I108" s="312">
        <f>SUM('POSEBNI DIO 24-52'!M506,'POSEBNI DIO 24-52'!M746,'POSEBNI DIO 24-52'!M319,'POSEBNI DIO 24-52'!M456,'POSEBNI DIO 24-52'!M318,'POSEBNI DIO 24-52'!M799,'POSEBNI DIO 24-52'!M347,'POSEBNI DIO 24-52'!M350,'POSEBNI DIO 24-52'!M610,'POSEBNI DIO 24-52'!M237,)</f>
        <v>0</v>
      </c>
      <c r="J108" s="312">
        <f>SUM('POSEBNI DIO 24-52'!N506,'POSEBNI DIO 24-52'!N746,'POSEBNI DIO 24-52'!N319,'POSEBNI DIO 24-52'!N456,'POSEBNI DIO 24-52'!N318,'POSEBNI DIO 24-52'!N799,'POSEBNI DIO 24-52'!N347,'POSEBNI DIO 24-52'!N350,'POSEBNI DIO 24-52'!N610,'POSEBNI DIO 24-52'!N237,)</f>
        <v>43000</v>
      </c>
      <c r="K108" s="312">
        <f>SUM('POSEBNI DIO 24-52'!O506,'POSEBNI DIO 24-52'!O746,'POSEBNI DIO 24-52'!O319,'POSEBNI DIO 24-52'!O456,'POSEBNI DIO 24-52'!O318,'POSEBNI DIO 24-52'!O799,'POSEBNI DIO 24-52'!O347,'POSEBNI DIO 24-52'!O350,'POSEBNI DIO 24-52'!O610,'POSEBNI DIO 24-52'!O237,)</f>
        <v>427000</v>
      </c>
      <c r="L108" s="312">
        <f>SUM('POSEBNI DIO 24-52'!P506,'POSEBNI DIO 24-52'!P746,'POSEBNI DIO 24-52'!P319,'POSEBNI DIO 24-52'!P456,'POSEBNI DIO 24-52'!P318,'POSEBNI DIO 24-52'!P799,'POSEBNI DIO 24-52'!P347,'POSEBNI DIO 24-52'!P350,'POSEBNI DIO 24-52'!P610,'POSEBNI DIO 24-52'!P237,)</f>
        <v>427000</v>
      </c>
    </row>
    <row r="109" spans="1:12" ht="24" customHeight="1">
      <c r="A109" s="313">
        <v>613990</v>
      </c>
      <c r="B109" s="329" t="s">
        <v>617</v>
      </c>
      <c r="C109" s="312">
        <f>SUM('POSEBNI DIO 24-52'!G292,'POSEBNI DIO 24-52'!G349,'POSEBNI DIO 24-52'!G264,)</f>
        <v>29600</v>
      </c>
      <c r="D109" s="312">
        <f>SUM('POSEBNI DIO 24-52'!H292,'POSEBNI DIO 24-52'!H349,'POSEBNI DIO 24-52'!H264,)</f>
        <v>0</v>
      </c>
      <c r="E109" s="312">
        <f>SUM('POSEBNI DIO 24-52'!I292,'POSEBNI DIO 24-52'!I349,'POSEBNI DIO 24-52'!I264,)</f>
        <v>0</v>
      </c>
      <c r="F109" s="312">
        <f>SUM('POSEBNI DIO 24-52'!J292,'POSEBNI DIO 24-52'!J349,'POSEBNI DIO 24-52'!J264,)</f>
        <v>29600</v>
      </c>
      <c r="G109" s="312">
        <f>SUM('POSEBNI DIO 24-52'!K292,'POSEBNI DIO 24-52'!K349,'POSEBNI DIO 24-52'!K264,)</f>
        <v>8000</v>
      </c>
      <c r="H109" s="312">
        <f>SUM('POSEBNI DIO 24-52'!L292,'POSEBNI DIO 24-52'!L349,'POSEBNI DIO 24-52'!L264,)</f>
        <v>0</v>
      </c>
      <c r="I109" s="312">
        <f>SUM('POSEBNI DIO 24-52'!M292,'POSEBNI DIO 24-52'!M349,'POSEBNI DIO 24-52'!M264,)</f>
        <v>0</v>
      </c>
      <c r="J109" s="312">
        <f>SUM('POSEBNI DIO 24-52'!N292,'POSEBNI DIO 24-52'!N349,'POSEBNI DIO 24-52'!N264,)</f>
        <v>8000</v>
      </c>
      <c r="K109" s="312">
        <f>SUM('POSEBNI DIO 24-52'!O292,'POSEBNI DIO 24-52'!O349,'POSEBNI DIO 24-52'!O264,)</f>
        <v>37600</v>
      </c>
      <c r="L109" s="312">
        <f>SUM('POSEBNI DIO 24-52'!P292,'POSEBNI DIO 24-52'!P349,'POSEBNI DIO 24-52'!P264,)</f>
        <v>37600</v>
      </c>
    </row>
    <row r="110" spans="1:12" ht="24.75" customHeight="1">
      <c r="A110" s="313">
        <v>613990</v>
      </c>
      <c r="B110" s="329" t="s">
        <v>174</v>
      </c>
      <c r="C110" s="312">
        <f>SUM('POSEBNI DIO 24-52'!G635:G635,'POSEBNI DIO 24-52'!G92:G92,'POSEBNI DIO 24-52'!G684,'POSEBNI DIO 24-52'!G455,'POSEBNI DIO 24-52'!G169:G170,'POSEBNI DIO 24-52'!G722:G722,'POSEBNI DIO 24-52'!G348,'POSEBNI DIO 24-52'!G236,'POSEBNI DIO 24-52'!G917:G918,'POSEBNI DIO 24-52'!G425,'POSEBNI DIO 24-52'!G683,)</f>
        <v>145000</v>
      </c>
      <c r="D110" s="312">
        <f>SUM('POSEBNI DIO 24-52'!H635:H635,'POSEBNI DIO 24-52'!H92:H92,'POSEBNI DIO 24-52'!H684,'POSEBNI DIO 24-52'!H455,'POSEBNI DIO 24-52'!H169:H170,'POSEBNI DIO 24-52'!H722:H722,'POSEBNI DIO 24-52'!H348,'POSEBNI DIO 24-52'!H236,'POSEBNI DIO 24-52'!H917:H918,'POSEBNI DIO 24-52'!H425,'POSEBNI DIO 24-52'!H683,)</f>
        <v>0</v>
      </c>
      <c r="E110" s="312">
        <f>SUM('POSEBNI DIO 24-52'!I635:I635,'POSEBNI DIO 24-52'!I92:I92,'POSEBNI DIO 24-52'!I684,'POSEBNI DIO 24-52'!I455,'POSEBNI DIO 24-52'!I169:I170,'POSEBNI DIO 24-52'!I722:I722,'POSEBNI DIO 24-52'!I348,'POSEBNI DIO 24-52'!I236,'POSEBNI DIO 24-52'!I917:I918,'POSEBNI DIO 24-52'!I425,'POSEBNI DIO 24-52'!I683,)</f>
        <v>0</v>
      </c>
      <c r="F110" s="312">
        <f>SUM('POSEBNI DIO 24-52'!J635:J635,'POSEBNI DIO 24-52'!J92:J92,'POSEBNI DIO 24-52'!J684,'POSEBNI DIO 24-52'!J455,'POSEBNI DIO 24-52'!J169:J170,'POSEBNI DIO 24-52'!J722:J722,'POSEBNI DIO 24-52'!J348,'POSEBNI DIO 24-52'!J236,'POSEBNI DIO 24-52'!J917:J918,'POSEBNI DIO 24-52'!J425,'POSEBNI DIO 24-52'!J683,)</f>
        <v>145000</v>
      </c>
      <c r="G110" s="312">
        <f>SUM('POSEBNI DIO 24-52'!K635:K635,'POSEBNI DIO 24-52'!K92:K92,'POSEBNI DIO 24-52'!K684,'POSEBNI DIO 24-52'!K455,'POSEBNI DIO 24-52'!K169:K170,'POSEBNI DIO 24-52'!K722:K722,'POSEBNI DIO 24-52'!K348,'POSEBNI DIO 24-52'!K236,'POSEBNI DIO 24-52'!K917:K918,'POSEBNI DIO 24-52'!K425,'POSEBNI DIO 24-52'!K683,)</f>
        <v>8000</v>
      </c>
      <c r="H110" s="312">
        <f>SUM('POSEBNI DIO 24-52'!L635:L635,'POSEBNI DIO 24-52'!L92:L92,'POSEBNI DIO 24-52'!L684,'POSEBNI DIO 24-52'!L455,'POSEBNI DIO 24-52'!L169:L170,'POSEBNI DIO 24-52'!L722:L722,'POSEBNI DIO 24-52'!L348,'POSEBNI DIO 24-52'!L236,'POSEBNI DIO 24-52'!L917:L918,'POSEBNI DIO 24-52'!L425,'POSEBNI DIO 24-52'!L683,)</f>
        <v>0</v>
      </c>
      <c r="I110" s="312">
        <f>SUM('POSEBNI DIO 24-52'!M635:M635,'POSEBNI DIO 24-52'!M92:M92,'POSEBNI DIO 24-52'!M684,'POSEBNI DIO 24-52'!M455,'POSEBNI DIO 24-52'!M169:M170,'POSEBNI DIO 24-52'!M722:M722,'POSEBNI DIO 24-52'!M348,'POSEBNI DIO 24-52'!M236,'POSEBNI DIO 24-52'!M917:M918,'POSEBNI DIO 24-52'!M425,'POSEBNI DIO 24-52'!M683,)</f>
        <v>0</v>
      </c>
      <c r="J110" s="312">
        <f>SUM('POSEBNI DIO 24-52'!N635:N635,'POSEBNI DIO 24-52'!N92:N92,'POSEBNI DIO 24-52'!N684,'POSEBNI DIO 24-52'!N455,'POSEBNI DIO 24-52'!N169:N170,'POSEBNI DIO 24-52'!N722:N722,'POSEBNI DIO 24-52'!N348,'POSEBNI DIO 24-52'!N236,'POSEBNI DIO 24-52'!N917:N918,'POSEBNI DIO 24-52'!N425,'POSEBNI DIO 24-52'!N683,)</f>
        <v>8000</v>
      </c>
      <c r="K110" s="312">
        <f>SUM('POSEBNI DIO 24-52'!O635:O635,'POSEBNI DIO 24-52'!O92:O92,'POSEBNI DIO 24-52'!O684,'POSEBNI DIO 24-52'!O455,'POSEBNI DIO 24-52'!O169:O170,'POSEBNI DIO 24-52'!O722:O722,'POSEBNI DIO 24-52'!O348,'POSEBNI DIO 24-52'!O236,'POSEBNI DIO 24-52'!O917:O918,'POSEBNI DIO 24-52'!O425,'POSEBNI DIO 24-52'!O683,)</f>
        <v>153000</v>
      </c>
      <c r="L110" s="312">
        <f>SUM('POSEBNI DIO 24-52'!P635:P635,'POSEBNI DIO 24-52'!P92:P92,'POSEBNI DIO 24-52'!P684,'POSEBNI DIO 24-52'!P455,'POSEBNI DIO 24-52'!P169:P170,'POSEBNI DIO 24-52'!P722:P722,'POSEBNI DIO 24-52'!P348,'POSEBNI DIO 24-52'!P236,'POSEBNI DIO 24-52'!P917:P918,'POSEBNI DIO 24-52'!P425,'POSEBNI DIO 24-52'!P683,)</f>
        <v>153000</v>
      </c>
    </row>
    <row r="111" spans="1:12" ht="33" customHeight="1" thickBot="1">
      <c r="A111" s="279"/>
      <c r="B111" s="334" t="s">
        <v>207</v>
      </c>
      <c r="C111" s="281">
        <f aca="true" t="shared" si="30" ref="C111:L111">SUM(C51,C52,C58,C70,C74,C76:C77,C88,C91)</f>
        <v>15605717.85</v>
      </c>
      <c r="D111" s="281">
        <f t="shared" si="30"/>
        <v>2666043.37</v>
      </c>
      <c r="E111" s="281">
        <f t="shared" si="30"/>
        <v>2640000</v>
      </c>
      <c r="F111" s="281">
        <f t="shared" si="30"/>
        <v>15631761.22</v>
      </c>
      <c r="G111" s="281">
        <f t="shared" si="30"/>
        <v>1186939.7</v>
      </c>
      <c r="H111" s="281">
        <f t="shared" si="30"/>
        <v>0</v>
      </c>
      <c r="I111" s="281">
        <f t="shared" si="30"/>
        <v>0</v>
      </c>
      <c r="J111" s="281">
        <f t="shared" si="30"/>
        <v>1186939.7</v>
      </c>
      <c r="K111" s="281">
        <f t="shared" si="30"/>
        <v>16792657.549999997</v>
      </c>
      <c r="L111" s="281">
        <f t="shared" si="30"/>
        <v>16818700.92</v>
      </c>
    </row>
    <row r="112" spans="1:12" ht="30" customHeight="1" thickBot="1">
      <c r="A112" s="335"/>
      <c r="B112" s="335"/>
      <c r="C112" s="336"/>
      <c r="D112" s="336"/>
      <c r="E112" s="336"/>
      <c r="F112" s="336"/>
      <c r="G112" s="336"/>
      <c r="H112" s="336"/>
      <c r="I112" s="336"/>
      <c r="J112" s="336"/>
      <c r="K112" s="336"/>
      <c r="L112" s="336"/>
    </row>
    <row r="113" spans="1:12" s="236" customFormat="1" ht="290.25" customHeight="1">
      <c r="A113" s="284" t="s">
        <v>186</v>
      </c>
      <c r="B113" s="285" t="s">
        <v>496</v>
      </c>
      <c r="C113" s="816" t="s">
        <v>1130</v>
      </c>
      <c r="D113" s="816" t="s">
        <v>1363</v>
      </c>
      <c r="E113" s="816" t="s">
        <v>1364</v>
      </c>
      <c r="F113" s="816" t="s">
        <v>1365</v>
      </c>
      <c r="G113" s="816" t="s">
        <v>1185</v>
      </c>
      <c r="H113" s="816" t="s">
        <v>1366</v>
      </c>
      <c r="I113" s="816" t="s">
        <v>1367</v>
      </c>
      <c r="J113" s="816" t="s">
        <v>1368</v>
      </c>
      <c r="K113" s="816" t="s">
        <v>1131</v>
      </c>
      <c r="L113" s="816" t="s">
        <v>1362</v>
      </c>
    </row>
    <row r="114" spans="1:12" ht="21" customHeight="1">
      <c r="A114" s="286">
        <v>0</v>
      </c>
      <c r="B114" s="287">
        <v>1</v>
      </c>
      <c r="C114" s="239">
        <v>2</v>
      </c>
      <c r="D114" s="239">
        <v>3</v>
      </c>
      <c r="E114" s="239">
        <v>4</v>
      </c>
      <c r="F114" s="239">
        <v>5</v>
      </c>
      <c r="G114" s="239">
        <v>6</v>
      </c>
      <c r="H114" s="239">
        <v>7</v>
      </c>
      <c r="I114" s="239">
        <v>8</v>
      </c>
      <c r="J114" s="239">
        <v>9</v>
      </c>
      <c r="K114" s="239">
        <v>10</v>
      </c>
      <c r="L114" s="240">
        <v>11</v>
      </c>
    </row>
    <row r="115" spans="1:12" ht="45" customHeight="1">
      <c r="A115" s="296">
        <v>614000</v>
      </c>
      <c r="B115" s="297" t="s">
        <v>40</v>
      </c>
      <c r="C115" s="244"/>
      <c r="D115" s="244"/>
      <c r="E115" s="244"/>
      <c r="F115" s="244"/>
      <c r="G115" s="244"/>
      <c r="H115" s="244"/>
      <c r="I115" s="244"/>
      <c r="J115" s="244"/>
      <c r="K115" s="244"/>
      <c r="L115" s="245"/>
    </row>
    <row r="116" spans="1:12" ht="45" customHeight="1">
      <c r="A116" s="337">
        <v>614100</v>
      </c>
      <c r="B116" s="338" t="s">
        <v>60</v>
      </c>
      <c r="C116" s="339">
        <f>SUM(C117:C119)</f>
        <v>129400</v>
      </c>
      <c r="D116" s="339">
        <f aca="true" t="shared" si="31" ref="D116:L116">SUM(D117:D119)</f>
        <v>0</v>
      </c>
      <c r="E116" s="339">
        <f t="shared" si="31"/>
        <v>0</v>
      </c>
      <c r="F116" s="339">
        <f t="shared" si="31"/>
        <v>129400</v>
      </c>
      <c r="G116" s="339">
        <f t="shared" si="31"/>
        <v>0</v>
      </c>
      <c r="H116" s="339">
        <f t="shared" si="31"/>
        <v>0</v>
      </c>
      <c r="I116" s="339">
        <f t="shared" si="31"/>
        <v>0</v>
      </c>
      <c r="J116" s="339">
        <f t="shared" si="31"/>
        <v>0</v>
      </c>
      <c r="K116" s="339">
        <f t="shared" si="31"/>
        <v>129400</v>
      </c>
      <c r="L116" s="339">
        <f t="shared" si="31"/>
        <v>129400</v>
      </c>
    </row>
    <row r="117" spans="1:12" ht="45" customHeight="1">
      <c r="A117" s="1286">
        <v>614110</v>
      </c>
      <c r="B117" s="1287" t="s">
        <v>1381</v>
      </c>
      <c r="C117" s="1288">
        <f>SUM('POSEBNI DIO 24-52'!G93)</f>
        <v>120000</v>
      </c>
      <c r="D117" s="1288">
        <f>SUM('POSEBNI DIO 24-52'!H93)</f>
        <v>0</v>
      </c>
      <c r="E117" s="1288">
        <f>SUM('POSEBNI DIO 24-52'!I93)</f>
        <v>0</v>
      </c>
      <c r="F117" s="1288">
        <f>SUM('POSEBNI DIO 24-52'!J93)</f>
        <v>120000</v>
      </c>
      <c r="G117" s="1288">
        <f>SUM('POSEBNI DIO 24-52'!K93)</f>
        <v>0</v>
      </c>
      <c r="H117" s="1288">
        <f>SUM('POSEBNI DIO 24-52'!L93)</f>
        <v>0</v>
      </c>
      <c r="I117" s="1288">
        <f>SUM('POSEBNI DIO 24-52'!M93)</f>
        <v>0</v>
      </c>
      <c r="J117" s="1288">
        <f>SUM('POSEBNI DIO 24-52'!N93)</f>
        <v>0</v>
      </c>
      <c r="K117" s="1288">
        <f>SUM('POSEBNI DIO 24-52'!O93)</f>
        <v>120000</v>
      </c>
      <c r="L117" s="1288">
        <f>SUM('POSEBNI DIO 24-52'!P93)</f>
        <v>120000</v>
      </c>
    </row>
    <row r="118" spans="1:12" ht="54.75" customHeight="1">
      <c r="A118" s="257">
        <v>614110</v>
      </c>
      <c r="B118" s="1094" t="s">
        <v>1077</v>
      </c>
      <c r="C118" s="260">
        <f>SUM('POSEBNI DIO 24-52'!G747,)</f>
        <v>5000</v>
      </c>
      <c r="D118" s="260">
        <f>SUM('POSEBNI DIO 24-52'!H747,)</f>
        <v>0</v>
      </c>
      <c r="E118" s="260">
        <f>SUM('POSEBNI DIO 24-52'!I747,)</f>
        <v>0</v>
      </c>
      <c r="F118" s="260">
        <f>SUM('POSEBNI DIO 24-52'!J747,)</f>
        <v>5000</v>
      </c>
      <c r="G118" s="260">
        <f>SUM('POSEBNI DIO 24-52'!K747,)</f>
        <v>0</v>
      </c>
      <c r="H118" s="260">
        <f>SUM('POSEBNI DIO 24-52'!L747,)</f>
        <v>0</v>
      </c>
      <c r="I118" s="260">
        <f>SUM('POSEBNI DIO 24-52'!M747,)</f>
        <v>0</v>
      </c>
      <c r="J118" s="260">
        <f>SUM('POSEBNI DIO 24-52'!N747,)</f>
        <v>0</v>
      </c>
      <c r="K118" s="260">
        <f>SUM('POSEBNI DIO 24-52'!O747,)</f>
        <v>5000</v>
      </c>
      <c r="L118" s="260">
        <f>SUM('POSEBNI DIO 24-52'!P747,)</f>
        <v>5000</v>
      </c>
    </row>
    <row r="119" spans="1:12" ht="30" customHeight="1">
      <c r="A119" s="254">
        <v>614120</v>
      </c>
      <c r="B119" s="340" t="s">
        <v>57</v>
      </c>
      <c r="C119" s="341">
        <f>SUM('POSEBNI DIO 24-52'!G94,)</f>
        <v>4400</v>
      </c>
      <c r="D119" s="341">
        <f>SUM('POSEBNI DIO 24-52'!H94,)</f>
        <v>0</v>
      </c>
      <c r="E119" s="341">
        <f>SUM('POSEBNI DIO 24-52'!I94,)</f>
        <v>0</v>
      </c>
      <c r="F119" s="341">
        <f>SUM('POSEBNI DIO 24-52'!J94,)</f>
        <v>4400</v>
      </c>
      <c r="G119" s="341">
        <f>SUM('POSEBNI DIO 24-52'!K94,)</f>
        <v>0</v>
      </c>
      <c r="H119" s="341">
        <f>SUM('POSEBNI DIO 24-52'!L94,)</f>
        <v>0</v>
      </c>
      <c r="I119" s="341">
        <f>SUM('POSEBNI DIO 24-52'!M94,)</f>
        <v>0</v>
      </c>
      <c r="J119" s="341">
        <f>SUM('POSEBNI DIO 24-52'!N94,)</f>
        <v>0</v>
      </c>
      <c r="K119" s="341">
        <f>SUM('POSEBNI DIO 24-52'!O94,)</f>
        <v>4400</v>
      </c>
      <c r="L119" s="341">
        <f>SUM('POSEBNI DIO 24-52'!P94,)</f>
        <v>4400</v>
      </c>
    </row>
    <row r="120" spans="1:12" ht="39.75" customHeight="1">
      <c r="A120" s="305">
        <v>614200</v>
      </c>
      <c r="B120" s="318" t="s">
        <v>208</v>
      </c>
      <c r="C120" s="264">
        <f aca="true" t="shared" si="32" ref="C120:L120">SUM(C121:C133)</f>
        <v>1504000</v>
      </c>
      <c r="D120" s="264">
        <f t="shared" si="32"/>
        <v>540000</v>
      </c>
      <c r="E120" s="264">
        <f t="shared" si="32"/>
        <v>30000</v>
      </c>
      <c r="F120" s="264">
        <f t="shared" si="32"/>
        <v>2014000</v>
      </c>
      <c r="G120" s="264">
        <f t="shared" si="32"/>
        <v>899000</v>
      </c>
      <c r="H120" s="264">
        <f t="shared" si="32"/>
        <v>0</v>
      </c>
      <c r="I120" s="264">
        <f t="shared" si="32"/>
        <v>0</v>
      </c>
      <c r="J120" s="264">
        <f t="shared" si="32"/>
        <v>899000</v>
      </c>
      <c r="K120" s="264">
        <f t="shared" si="32"/>
        <v>2403000</v>
      </c>
      <c r="L120" s="264">
        <f t="shared" si="32"/>
        <v>2913000</v>
      </c>
    </row>
    <row r="121" spans="1:12" ht="30" customHeight="1">
      <c r="A121" s="292">
        <v>614230</v>
      </c>
      <c r="B121" s="342" t="s">
        <v>461</v>
      </c>
      <c r="C121" s="321">
        <f>SUM('POSEBNI DIO 24-52'!G685:G686)</f>
        <v>445000</v>
      </c>
      <c r="D121" s="321">
        <f>SUM('POSEBNI DIO 24-52'!H685:H686)</f>
        <v>0</v>
      </c>
      <c r="E121" s="321">
        <f>SUM('POSEBNI DIO 24-52'!I685:I686)</f>
        <v>0</v>
      </c>
      <c r="F121" s="321">
        <f>SUM('POSEBNI DIO 24-52'!J685:J686)</f>
        <v>445000</v>
      </c>
      <c r="G121" s="321">
        <f>SUM('POSEBNI DIO 24-52'!K685:K686)</f>
        <v>400000</v>
      </c>
      <c r="H121" s="321">
        <f>SUM('POSEBNI DIO 24-52'!L685:L686)</f>
        <v>0</v>
      </c>
      <c r="I121" s="321">
        <f>SUM('POSEBNI DIO 24-52'!M685:M686)</f>
        <v>0</v>
      </c>
      <c r="J121" s="321">
        <f>SUM('POSEBNI DIO 24-52'!N685:N686)</f>
        <v>400000</v>
      </c>
      <c r="K121" s="321">
        <f>SUM('POSEBNI DIO 24-52'!O685:O686)</f>
        <v>845000</v>
      </c>
      <c r="L121" s="321">
        <f>SUM('POSEBNI DIO 24-52'!P685:P686)</f>
        <v>845000</v>
      </c>
    </row>
    <row r="122" spans="1:12" ht="30" customHeight="1">
      <c r="A122" s="292">
        <v>614230</v>
      </c>
      <c r="B122" s="342" t="s">
        <v>482</v>
      </c>
      <c r="C122" s="321">
        <f>SUM('POSEBNI DIO 24-52'!G704,)</f>
        <v>0</v>
      </c>
      <c r="D122" s="321">
        <f>SUM('POSEBNI DIO 24-52'!H704,)</f>
        <v>0</v>
      </c>
      <c r="E122" s="321">
        <f>SUM('POSEBNI DIO 24-52'!I704,)</f>
        <v>0</v>
      </c>
      <c r="F122" s="321">
        <f>SUM('POSEBNI DIO 24-52'!J704,)</f>
        <v>0</v>
      </c>
      <c r="G122" s="321">
        <f>SUM('POSEBNI DIO 24-52'!K704,)</f>
        <v>450000</v>
      </c>
      <c r="H122" s="321">
        <f>SUM('POSEBNI DIO 24-52'!L704,)</f>
        <v>0</v>
      </c>
      <c r="I122" s="321">
        <f>SUM('POSEBNI DIO 24-52'!M704,)</f>
        <v>0</v>
      </c>
      <c r="J122" s="321">
        <f>SUM('POSEBNI DIO 24-52'!N704,)</f>
        <v>450000</v>
      </c>
      <c r="K122" s="321">
        <f>SUM('POSEBNI DIO 24-52'!O704,)</f>
        <v>450000</v>
      </c>
      <c r="L122" s="321">
        <f>SUM('POSEBNI DIO 24-52'!P704,)</f>
        <v>450000</v>
      </c>
    </row>
    <row r="123" spans="1:12" ht="30" customHeight="1">
      <c r="A123" s="292">
        <v>614230</v>
      </c>
      <c r="B123" s="342" t="s">
        <v>462</v>
      </c>
      <c r="C123" s="321">
        <f>SUM('POSEBNI DIO 24-52'!G171,'POSEBNI DIO 24-52'!G919,)</f>
        <v>60000</v>
      </c>
      <c r="D123" s="321">
        <f>SUM('POSEBNI DIO 24-52'!H171,'POSEBNI DIO 24-52'!H919,)</f>
        <v>0</v>
      </c>
      <c r="E123" s="321">
        <f>SUM('POSEBNI DIO 24-52'!I171,'POSEBNI DIO 24-52'!I919,)</f>
        <v>0</v>
      </c>
      <c r="F123" s="321">
        <f>SUM('POSEBNI DIO 24-52'!J171,'POSEBNI DIO 24-52'!J919,)</f>
        <v>60000</v>
      </c>
      <c r="G123" s="321">
        <f>SUM('POSEBNI DIO 24-52'!K171,'POSEBNI DIO 24-52'!K919,)</f>
        <v>0</v>
      </c>
      <c r="H123" s="321">
        <f>SUM('POSEBNI DIO 24-52'!L171,'POSEBNI DIO 24-52'!L919,)</f>
        <v>0</v>
      </c>
      <c r="I123" s="321">
        <f>SUM('POSEBNI DIO 24-52'!M171,'POSEBNI DIO 24-52'!M919,)</f>
        <v>0</v>
      </c>
      <c r="J123" s="321">
        <f>SUM('POSEBNI DIO 24-52'!N171,'POSEBNI DIO 24-52'!N919,)</f>
        <v>0</v>
      </c>
      <c r="K123" s="321">
        <f>SUM('POSEBNI DIO 24-52'!O171,'POSEBNI DIO 24-52'!O919,)</f>
        <v>60000</v>
      </c>
      <c r="L123" s="321">
        <f>SUM('POSEBNI DIO 24-52'!P171,'POSEBNI DIO 24-52'!P919,)</f>
        <v>60000</v>
      </c>
    </row>
    <row r="124" spans="1:12" ht="30" customHeight="1">
      <c r="A124" s="292">
        <v>614230</v>
      </c>
      <c r="B124" s="342" t="s">
        <v>463</v>
      </c>
      <c r="C124" s="321">
        <f>SUM('POSEBNI DIO 24-52'!G172,'POSEBNI DIO 24-52'!G689,'POSEBNI DIO 24-52'!G920,)</f>
        <v>430000</v>
      </c>
      <c r="D124" s="321">
        <f>SUM('POSEBNI DIO 24-52'!H172,'POSEBNI DIO 24-52'!H689,'POSEBNI DIO 24-52'!H920,)</f>
        <v>0</v>
      </c>
      <c r="E124" s="321">
        <f>SUM('POSEBNI DIO 24-52'!I172,'POSEBNI DIO 24-52'!I689,'POSEBNI DIO 24-52'!I920,)</f>
        <v>0</v>
      </c>
      <c r="F124" s="321">
        <f>SUM('POSEBNI DIO 24-52'!J172,'POSEBNI DIO 24-52'!J689,'POSEBNI DIO 24-52'!J920,)</f>
        <v>430000</v>
      </c>
      <c r="G124" s="321">
        <f>SUM('POSEBNI DIO 24-52'!K172,'POSEBNI DIO 24-52'!K689,'POSEBNI DIO 24-52'!K920,)</f>
        <v>0</v>
      </c>
      <c r="H124" s="321">
        <f>SUM('POSEBNI DIO 24-52'!L172,'POSEBNI DIO 24-52'!L689,'POSEBNI DIO 24-52'!L920,)</f>
        <v>0</v>
      </c>
      <c r="I124" s="321">
        <f>SUM('POSEBNI DIO 24-52'!M172,'POSEBNI DIO 24-52'!M689,'POSEBNI DIO 24-52'!M920,)</f>
        <v>0</v>
      </c>
      <c r="J124" s="321">
        <f>SUM('POSEBNI DIO 24-52'!N172,'POSEBNI DIO 24-52'!N689,'POSEBNI DIO 24-52'!N920,)</f>
        <v>0</v>
      </c>
      <c r="K124" s="321">
        <f>SUM('POSEBNI DIO 24-52'!O172,'POSEBNI DIO 24-52'!O689,'POSEBNI DIO 24-52'!O920,)</f>
        <v>430000</v>
      </c>
      <c r="L124" s="321">
        <f>SUM('POSEBNI DIO 24-52'!P172,'POSEBNI DIO 24-52'!P689,'POSEBNI DIO 24-52'!P920,)</f>
        <v>430000</v>
      </c>
    </row>
    <row r="125" spans="1:12" ht="54" customHeight="1">
      <c r="A125" s="275">
        <v>614230</v>
      </c>
      <c r="B125" s="333" t="s">
        <v>1421</v>
      </c>
      <c r="C125" s="256">
        <f>SUM('POSEBNI DIO 24-52'!G966)</f>
        <v>0</v>
      </c>
      <c r="D125" s="256">
        <f>SUM('POSEBNI DIO 24-52'!H966)</f>
        <v>500000</v>
      </c>
      <c r="E125" s="256">
        <f>SUM('POSEBNI DIO 24-52'!I966)</f>
        <v>0</v>
      </c>
      <c r="F125" s="256">
        <f>SUM('POSEBNI DIO 24-52'!J966)</f>
        <v>500000</v>
      </c>
      <c r="G125" s="256">
        <f>SUM('POSEBNI DIO 24-52'!K966)</f>
        <v>0</v>
      </c>
      <c r="H125" s="256">
        <f>SUM('POSEBNI DIO 24-52'!L966)</f>
        <v>0</v>
      </c>
      <c r="I125" s="256">
        <f>SUM('POSEBNI DIO 24-52'!M966)</f>
        <v>0</v>
      </c>
      <c r="J125" s="256">
        <f>SUM('POSEBNI DIO 24-52'!N966)</f>
        <v>0</v>
      </c>
      <c r="K125" s="256">
        <f>SUM('POSEBNI DIO 24-52'!O966)</f>
        <v>0</v>
      </c>
      <c r="L125" s="256">
        <f>SUM('POSEBNI DIO 24-52'!P966)</f>
        <v>500000</v>
      </c>
    </row>
    <row r="126" spans="1:12" ht="30" customHeight="1">
      <c r="A126" s="292">
        <v>614230</v>
      </c>
      <c r="B126" s="1101" t="s">
        <v>1085</v>
      </c>
      <c r="C126" s="321">
        <f>SUM('POSEBNI DIO 24-52'!G921)</f>
        <v>100000</v>
      </c>
      <c r="D126" s="321">
        <f>SUM('POSEBNI DIO 24-52'!H921)</f>
        <v>0</v>
      </c>
      <c r="E126" s="321">
        <f>SUM('POSEBNI DIO 24-52'!I921)</f>
        <v>0</v>
      </c>
      <c r="F126" s="321">
        <f>SUM('POSEBNI DIO 24-52'!J921)</f>
        <v>100000</v>
      </c>
      <c r="G126" s="321">
        <f>SUM('POSEBNI DIO 24-52'!K921)</f>
        <v>0</v>
      </c>
      <c r="H126" s="321">
        <f>SUM('POSEBNI DIO 24-52'!L921)</f>
        <v>0</v>
      </c>
      <c r="I126" s="321">
        <f>SUM('POSEBNI DIO 24-52'!M921)</f>
        <v>0</v>
      </c>
      <c r="J126" s="321">
        <f>SUM('POSEBNI DIO 24-52'!N921)</f>
        <v>0</v>
      </c>
      <c r="K126" s="321">
        <f>SUM('POSEBNI DIO 24-52'!O921)</f>
        <v>100000</v>
      </c>
      <c r="L126" s="321">
        <f>SUM('POSEBNI DIO 24-52'!P921)</f>
        <v>100000</v>
      </c>
    </row>
    <row r="127" spans="1:12" ht="30" customHeight="1">
      <c r="A127" s="292">
        <v>614230</v>
      </c>
      <c r="B127" s="342" t="s">
        <v>464</v>
      </c>
      <c r="C127" s="321">
        <f>SUM('POSEBNI DIO 24-52'!G687,'POSEBNI DIO 24-52'!G688,)</f>
        <v>15000</v>
      </c>
      <c r="D127" s="321">
        <f>SUM('POSEBNI DIO 24-52'!H687,'POSEBNI DIO 24-52'!H688,)</f>
        <v>0</v>
      </c>
      <c r="E127" s="321">
        <f>SUM('POSEBNI DIO 24-52'!I687,'POSEBNI DIO 24-52'!I688,)</f>
        <v>0</v>
      </c>
      <c r="F127" s="321">
        <f>SUM('POSEBNI DIO 24-52'!J687,'POSEBNI DIO 24-52'!J688,)</f>
        <v>15000</v>
      </c>
      <c r="G127" s="321">
        <f>SUM('POSEBNI DIO 24-52'!K687,'POSEBNI DIO 24-52'!K688,)</f>
        <v>49000</v>
      </c>
      <c r="H127" s="321">
        <f>SUM('POSEBNI DIO 24-52'!L687,'POSEBNI DIO 24-52'!L688,)</f>
        <v>0</v>
      </c>
      <c r="I127" s="321">
        <f>SUM('POSEBNI DIO 24-52'!M687,'POSEBNI DIO 24-52'!M688,)</f>
        <v>0</v>
      </c>
      <c r="J127" s="321">
        <f>SUM('POSEBNI DIO 24-52'!N687,'POSEBNI DIO 24-52'!N688,)</f>
        <v>49000</v>
      </c>
      <c r="K127" s="321">
        <f>SUM('POSEBNI DIO 24-52'!O687,'POSEBNI DIO 24-52'!O688,)</f>
        <v>64000</v>
      </c>
      <c r="L127" s="321">
        <f>SUM('POSEBNI DIO 24-52'!P687,'POSEBNI DIO 24-52'!P688,)</f>
        <v>64000</v>
      </c>
    </row>
    <row r="128" spans="1:12" ht="58.5" customHeight="1">
      <c r="A128" s="275">
        <v>614230</v>
      </c>
      <c r="B128" s="834" t="s">
        <v>953</v>
      </c>
      <c r="C128" s="256">
        <f>SUM('POSEBNI DIO 24-52'!G173,'POSEBNI DIO 24-52'!G174,'POSEBNI DIO 24-52'!G922:G923,)</f>
        <v>52000</v>
      </c>
      <c r="D128" s="256">
        <f>SUM('POSEBNI DIO 24-52'!H173,'POSEBNI DIO 24-52'!H174,'POSEBNI DIO 24-52'!H922:H923,)</f>
        <v>0</v>
      </c>
      <c r="E128" s="256">
        <f>SUM('POSEBNI DIO 24-52'!I173,'POSEBNI DIO 24-52'!I174,'POSEBNI DIO 24-52'!I922:I923,)</f>
        <v>0</v>
      </c>
      <c r="F128" s="256">
        <f>SUM('POSEBNI DIO 24-52'!J173,'POSEBNI DIO 24-52'!J174,'POSEBNI DIO 24-52'!J922:J923,)</f>
        <v>52000</v>
      </c>
      <c r="G128" s="256">
        <f>SUM('POSEBNI DIO 24-52'!K173,'POSEBNI DIO 24-52'!K174,'POSEBNI DIO 24-52'!K922:K923,)</f>
        <v>0</v>
      </c>
      <c r="H128" s="256">
        <f>SUM('POSEBNI DIO 24-52'!L173,'POSEBNI DIO 24-52'!L174,'POSEBNI DIO 24-52'!L922:L923,)</f>
        <v>0</v>
      </c>
      <c r="I128" s="256">
        <f>SUM('POSEBNI DIO 24-52'!M173,'POSEBNI DIO 24-52'!M174,'POSEBNI DIO 24-52'!M922:M923,)</f>
        <v>0</v>
      </c>
      <c r="J128" s="256">
        <f>SUM('POSEBNI DIO 24-52'!N173,'POSEBNI DIO 24-52'!N174,'POSEBNI DIO 24-52'!N922:N923,)</f>
        <v>0</v>
      </c>
      <c r="K128" s="256">
        <f>SUM('POSEBNI DIO 24-52'!O173,'POSEBNI DIO 24-52'!O174,'POSEBNI DIO 24-52'!O922:O923,)</f>
        <v>52000</v>
      </c>
      <c r="L128" s="256">
        <f>SUM('POSEBNI DIO 24-52'!P173,'POSEBNI DIO 24-52'!P174,'POSEBNI DIO 24-52'!P922:P923,)</f>
        <v>52000</v>
      </c>
    </row>
    <row r="129" spans="1:12" ht="37.5" customHeight="1">
      <c r="A129" s="275">
        <v>614230</v>
      </c>
      <c r="B129" s="964" t="s">
        <v>1087</v>
      </c>
      <c r="C129" s="256">
        <f>SUM('POSEBNI DIO 24-52'!G426)</f>
        <v>200000</v>
      </c>
      <c r="D129" s="256">
        <f>SUM('POSEBNI DIO 24-52'!H426)</f>
        <v>0</v>
      </c>
      <c r="E129" s="256">
        <f>SUM('POSEBNI DIO 24-52'!I426)</f>
        <v>0</v>
      </c>
      <c r="F129" s="256">
        <f>SUM('POSEBNI DIO 24-52'!J426)</f>
        <v>200000</v>
      </c>
      <c r="G129" s="256">
        <f>SUM('POSEBNI DIO 24-52'!K426)</f>
        <v>0</v>
      </c>
      <c r="H129" s="256">
        <f>SUM('POSEBNI DIO 24-52'!L426)</f>
        <v>0</v>
      </c>
      <c r="I129" s="256">
        <f>SUM('POSEBNI DIO 24-52'!M426)</f>
        <v>0</v>
      </c>
      <c r="J129" s="256">
        <f>SUM('POSEBNI DIO 24-52'!N426)</f>
        <v>0</v>
      </c>
      <c r="K129" s="256">
        <f>SUM('POSEBNI DIO 24-52'!O426)</f>
        <v>200000</v>
      </c>
      <c r="L129" s="256">
        <f>SUM('POSEBNI DIO 24-52'!P426)</f>
        <v>200000</v>
      </c>
    </row>
    <row r="130" spans="1:12" ht="53.25" customHeight="1">
      <c r="A130" s="275">
        <v>614230</v>
      </c>
      <c r="B130" s="834" t="s">
        <v>911</v>
      </c>
      <c r="C130" s="256">
        <f>SUM('POSEBNI DIO 24-52'!G690)</f>
        <v>150000</v>
      </c>
      <c r="D130" s="256">
        <f>SUM('POSEBNI DIO 24-52'!H690)</f>
        <v>0</v>
      </c>
      <c r="E130" s="256">
        <f>SUM('POSEBNI DIO 24-52'!I690)</f>
        <v>0</v>
      </c>
      <c r="F130" s="256">
        <f>SUM('POSEBNI DIO 24-52'!J690)</f>
        <v>150000</v>
      </c>
      <c r="G130" s="256">
        <f>SUM('POSEBNI DIO 24-52'!K690)</f>
        <v>0</v>
      </c>
      <c r="H130" s="256">
        <f>SUM('POSEBNI DIO 24-52'!L690)</f>
        <v>0</v>
      </c>
      <c r="I130" s="256">
        <f>SUM('POSEBNI DIO 24-52'!M690)</f>
        <v>0</v>
      </c>
      <c r="J130" s="256">
        <f>SUM('POSEBNI DIO 24-52'!N690)</f>
        <v>0</v>
      </c>
      <c r="K130" s="256">
        <f>SUM('POSEBNI DIO 24-52'!O690)</f>
        <v>150000</v>
      </c>
      <c r="L130" s="256">
        <f>SUM('POSEBNI DIO 24-52'!P690)</f>
        <v>150000</v>
      </c>
    </row>
    <row r="131" spans="1:12" ht="44.25" customHeight="1">
      <c r="A131" s="275">
        <v>614230</v>
      </c>
      <c r="B131" s="1326" t="s">
        <v>1393</v>
      </c>
      <c r="C131" s="256">
        <f>SUM('POSEBNI DIO 24-52'!G363)</f>
        <v>0</v>
      </c>
      <c r="D131" s="256">
        <f>SUM('POSEBNI DIO 24-52'!H363)</f>
        <v>40000</v>
      </c>
      <c r="E131" s="256">
        <f>SUM('POSEBNI DIO 24-52'!I363)</f>
        <v>0</v>
      </c>
      <c r="F131" s="256">
        <f>SUM('POSEBNI DIO 24-52'!J363)</f>
        <v>40000</v>
      </c>
      <c r="G131" s="256">
        <f>SUM('POSEBNI DIO 24-52'!K363)</f>
        <v>0</v>
      </c>
      <c r="H131" s="256">
        <f>SUM('POSEBNI DIO 24-52'!L363)</f>
        <v>0</v>
      </c>
      <c r="I131" s="256">
        <f>SUM('POSEBNI DIO 24-52'!M363)</f>
        <v>0</v>
      </c>
      <c r="J131" s="256">
        <f>SUM('POSEBNI DIO 24-52'!N363)</f>
        <v>0</v>
      </c>
      <c r="K131" s="256">
        <f>SUM('POSEBNI DIO 24-52'!O363)</f>
        <v>0</v>
      </c>
      <c r="L131" s="256">
        <f>SUM('POSEBNI DIO 24-52'!P363)</f>
        <v>40000</v>
      </c>
    </row>
    <row r="132" spans="1:12" ht="53.25" customHeight="1">
      <c r="A132" s="275">
        <v>614240</v>
      </c>
      <c r="B132" s="965" t="s">
        <v>951</v>
      </c>
      <c r="C132" s="256">
        <f>SUM('POSEBNI DIO 24-52'!G748)</f>
        <v>30000</v>
      </c>
      <c r="D132" s="256">
        <f>SUM('POSEBNI DIO 24-52'!H748)</f>
        <v>0</v>
      </c>
      <c r="E132" s="256">
        <f>SUM('POSEBNI DIO 24-52'!I748)</f>
        <v>30000</v>
      </c>
      <c r="F132" s="256">
        <f>SUM('POSEBNI DIO 24-52'!J748)</f>
        <v>0</v>
      </c>
      <c r="G132" s="256">
        <f>SUM('POSEBNI DIO 24-52'!K748)</f>
        <v>0</v>
      </c>
      <c r="H132" s="256">
        <f>SUM('POSEBNI DIO 24-52'!L748)</f>
        <v>0</v>
      </c>
      <c r="I132" s="256">
        <f>SUM('POSEBNI DIO 24-52'!M748)</f>
        <v>0</v>
      </c>
      <c r="J132" s="256">
        <f>SUM('POSEBNI DIO 24-52'!N748)</f>
        <v>0</v>
      </c>
      <c r="K132" s="256">
        <f>SUM('POSEBNI DIO 24-52'!O748)</f>
        <v>30000</v>
      </c>
      <c r="L132" s="256">
        <f>SUM('POSEBNI DIO 24-52'!P748)</f>
        <v>0</v>
      </c>
    </row>
    <row r="133" spans="1:12" ht="55.5" customHeight="1">
      <c r="A133" s="275">
        <v>614250</v>
      </c>
      <c r="B133" s="325" t="s">
        <v>762</v>
      </c>
      <c r="C133" s="256">
        <f>SUM('POSEBNI DIO 24-52'!G175,'POSEBNI DIO 24-52'!G924,)</f>
        <v>22000</v>
      </c>
      <c r="D133" s="256">
        <f>SUM('POSEBNI DIO 24-52'!H175,'POSEBNI DIO 24-52'!H924,)</f>
        <v>0</v>
      </c>
      <c r="E133" s="256">
        <f>SUM('POSEBNI DIO 24-52'!I175,'POSEBNI DIO 24-52'!I924,)</f>
        <v>0</v>
      </c>
      <c r="F133" s="256">
        <f>SUM('POSEBNI DIO 24-52'!J175,'POSEBNI DIO 24-52'!J924,)</f>
        <v>22000</v>
      </c>
      <c r="G133" s="256">
        <f>SUM('POSEBNI DIO 24-52'!K175,'POSEBNI DIO 24-52'!K924,)</f>
        <v>0</v>
      </c>
      <c r="H133" s="256">
        <f>SUM('POSEBNI DIO 24-52'!L175,'POSEBNI DIO 24-52'!L924,)</f>
        <v>0</v>
      </c>
      <c r="I133" s="256">
        <f>SUM('POSEBNI DIO 24-52'!M175,'POSEBNI DIO 24-52'!M924,)</f>
        <v>0</v>
      </c>
      <c r="J133" s="256">
        <f>SUM('POSEBNI DIO 24-52'!N175,'POSEBNI DIO 24-52'!N924,)</f>
        <v>0</v>
      </c>
      <c r="K133" s="256">
        <f>SUM('POSEBNI DIO 24-52'!O175,'POSEBNI DIO 24-52'!O924,)</f>
        <v>22000</v>
      </c>
      <c r="L133" s="256">
        <f>SUM('POSEBNI DIO 24-52'!P175,'POSEBNI DIO 24-52'!P924,)</f>
        <v>22000</v>
      </c>
    </row>
    <row r="134" spans="1:12" s="241" customFormat="1" ht="33" customHeight="1">
      <c r="A134" s="277">
        <v>614300</v>
      </c>
      <c r="B134" s="322" t="s">
        <v>209</v>
      </c>
      <c r="C134" s="271">
        <f aca="true" t="shared" si="33" ref="C134:L134">SUM(C135:C137)</f>
        <v>6531200</v>
      </c>
      <c r="D134" s="271">
        <f t="shared" si="33"/>
        <v>207000</v>
      </c>
      <c r="E134" s="271">
        <f t="shared" si="33"/>
        <v>150000</v>
      </c>
      <c r="F134" s="271">
        <f t="shared" si="33"/>
        <v>6588200</v>
      </c>
      <c r="G134" s="271">
        <f t="shared" si="33"/>
        <v>0</v>
      </c>
      <c r="H134" s="271">
        <f t="shared" si="33"/>
        <v>0</v>
      </c>
      <c r="I134" s="271">
        <f t="shared" si="33"/>
        <v>0</v>
      </c>
      <c r="J134" s="271">
        <f t="shared" si="33"/>
        <v>0</v>
      </c>
      <c r="K134" s="271">
        <f t="shared" si="33"/>
        <v>6531200</v>
      </c>
      <c r="L134" s="271">
        <f t="shared" si="33"/>
        <v>6588200</v>
      </c>
    </row>
    <row r="135" spans="1:12" ht="30" customHeight="1">
      <c r="A135" s="313">
        <v>614310</v>
      </c>
      <c r="B135" s="328" t="s">
        <v>212</v>
      </c>
      <c r="C135" s="321">
        <f>SUM('POSEBNI DIO 24-52'!G51,'POSEBNI DIO 24-52'!G176:G181,'POSEBNI DIO 24-52'!G691:G691,'POSEBNI DIO 24-52'!G749,'POSEBNI DIO 24-52'!G575,'POSEBNI DIO 24-52'!G192,'POSEBNI DIO 24-52'!G750,'POSEBNI DIO 24-52'!G193,'POSEBNI DIO 24-52'!G95,'POSEBNI DIO 24-52'!G364:G365,'POSEBNI DIO 24-52'!G195:G195,'POSEBNI DIO 24-52'!G194,'POSEBNI DIO 24-52'!G196,'POSEBNI DIO 24-52'!G198:G199,'POSEBNI DIO 24-52'!G182:G188,'POSEBNI DIO 24-52'!G786,'POSEBNI DIO 24-52'!G692,'POSEBNI DIO 24-52'!G925:G936,'POSEBNI DIO 24-52'!G940:G947,'POSEBNI DIO 24-52'!G948,'POSEBNI DIO 24-52'!G810,'POSEBNI DIO 24-52'!G528,'POSEBNI DIO 24-52'!G787,'POSEBNI DIO 24-52'!G197,'POSEBNI DIO 24-52'!G967,)</f>
        <v>3707500</v>
      </c>
      <c r="D135" s="321">
        <f>SUM('POSEBNI DIO 24-52'!H51,'POSEBNI DIO 24-52'!H176:H181,'POSEBNI DIO 24-52'!H691:H691,'POSEBNI DIO 24-52'!H749,'POSEBNI DIO 24-52'!H575,'POSEBNI DIO 24-52'!H192,'POSEBNI DIO 24-52'!H750,'POSEBNI DIO 24-52'!H193,'POSEBNI DIO 24-52'!H95,'POSEBNI DIO 24-52'!H364:H365,'POSEBNI DIO 24-52'!H195:H195,'POSEBNI DIO 24-52'!H194,'POSEBNI DIO 24-52'!H196,'POSEBNI DIO 24-52'!H198:H199,'POSEBNI DIO 24-52'!H182:H188,'POSEBNI DIO 24-52'!H786,'POSEBNI DIO 24-52'!H692,'POSEBNI DIO 24-52'!H925:H936,'POSEBNI DIO 24-52'!H940:H947,'POSEBNI DIO 24-52'!H948,'POSEBNI DIO 24-52'!H810,'POSEBNI DIO 24-52'!H528,'POSEBNI DIO 24-52'!H787,'POSEBNI DIO 24-52'!H197,'POSEBNI DIO 24-52'!H967,)</f>
        <v>175000</v>
      </c>
      <c r="E135" s="321">
        <f>SUM('POSEBNI DIO 24-52'!I51,'POSEBNI DIO 24-52'!I176:I181,'POSEBNI DIO 24-52'!I691:I691,'POSEBNI DIO 24-52'!I749,'POSEBNI DIO 24-52'!I575,'POSEBNI DIO 24-52'!I192,'POSEBNI DIO 24-52'!I750,'POSEBNI DIO 24-52'!I193,'POSEBNI DIO 24-52'!I95,'POSEBNI DIO 24-52'!I364:I365,'POSEBNI DIO 24-52'!I195:I195,'POSEBNI DIO 24-52'!I194,'POSEBNI DIO 24-52'!I196,'POSEBNI DIO 24-52'!I198:I199,'POSEBNI DIO 24-52'!I182:I188,'POSEBNI DIO 24-52'!I786,'POSEBNI DIO 24-52'!I692,'POSEBNI DIO 24-52'!I925:I936,'POSEBNI DIO 24-52'!I940:I947,'POSEBNI DIO 24-52'!I948,'POSEBNI DIO 24-52'!I810,'POSEBNI DIO 24-52'!I528,'POSEBNI DIO 24-52'!I787,'POSEBNI DIO 24-52'!I197,'POSEBNI DIO 24-52'!I967,)</f>
        <v>150000</v>
      </c>
      <c r="F135" s="321">
        <f>SUM('POSEBNI DIO 24-52'!J51,'POSEBNI DIO 24-52'!J176:J181,'POSEBNI DIO 24-52'!J691:J691,'POSEBNI DIO 24-52'!J749,'POSEBNI DIO 24-52'!J575,'POSEBNI DIO 24-52'!J192,'POSEBNI DIO 24-52'!J750,'POSEBNI DIO 24-52'!J193,'POSEBNI DIO 24-52'!J95,'POSEBNI DIO 24-52'!J364:J365,'POSEBNI DIO 24-52'!J195:J195,'POSEBNI DIO 24-52'!J194,'POSEBNI DIO 24-52'!J196,'POSEBNI DIO 24-52'!J198:J199,'POSEBNI DIO 24-52'!J182:J188,'POSEBNI DIO 24-52'!J786,'POSEBNI DIO 24-52'!J692,'POSEBNI DIO 24-52'!J925:J936,'POSEBNI DIO 24-52'!J940:J947,'POSEBNI DIO 24-52'!J948,'POSEBNI DIO 24-52'!J810,'POSEBNI DIO 24-52'!J528,'POSEBNI DIO 24-52'!J787,'POSEBNI DIO 24-52'!J197,'POSEBNI DIO 24-52'!J967,)</f>
        <v>3732500</v>
      </c>
      <c r="G135" s="321">
        <f>SUM('POSEBNI DIO 24-52'!K51,'POSEBNI DIO 24-52'!K176:K181,'POSEBNI DIO 24-52'!K691:K691,'POSEBNI DIO 24-52'!K749,'POSEBNI DIO 24-52'!K575,'POSEBNI DIO 24-52'!K192,'POSEBNI DIO 24-52'!K750,'POSEBNI DIO 24-52'!K193,'POSEBNI DIO 24-52'!K95,'POSEBNI DIO 24-52'!K364:K365,'POSEBNI DIO 24-52'!K195:K195,'POSEBNI DIO 24-52'!K194,'POSEBNI DIO 24-52'!K196,'POSEBNI DIO 24-52'!K198:K199,'POSEBNI DIO 24-52'!K182:K188,'POSEBNI DIO 24-52'!K786,'POSEBNI DIO 24-52'!K692,'POSEBNI DIO 24-52'!K925:K936,'POSEBNI DIO 24-52'!K940:K947,'POSEBNI DIO 24-52'!K948,'POSEBNI DIO 24-52'!K810,'POSEBNI DIO 24-52'!K528,'POSEBNI DIO 24-52'!K787,'POSEBNI DIO 24-52'!K197,'POSEBNI DIO 24-52'!K967,)</f>
        <v>0</v>
      </c>
      <c r="H135" s="321">
        <f>SUM('POSEBNI DIO 24-52'!L51,'POSEBNI DIO 24-52'!L176:L181,'POSEBNI DIO 24-52'!L691:L691,'POSEBNI DIO 24-52'!L749,'POSEBNI DIO 24-52'!L575,'POSEBNI DIO 24-52'!L192,'POSEBNI DIO 24-52'!L750,'POSEBNI DIO 24-52'!L193,'POSEBNI DIO 24-52'!L95,'POSEBNI DIO 24-52'!L364:L365,'POSEBNI DIO 24-52'!L195:L195,'POSEBNI DIO 24-52'!L194,'POSEBNI DIO 24-52'!L196,'POSEBNI DIO 24-52'!L198:L199,'POSEBNI DIO 24-52'!L182:L188,'POSEBNI DIO 24-52'!L786,'POSEBNI DIO 24-52'!L692,'POSEBNI DIO 24-52'!L925:L936,'POSEBNI DIO 24-52'!L940:L947,'POSEBNI DIO 24-52'!L948,'POSEBNI DIO 24-52'!L810,'POSEBNI DIO 24-52'!L528,'POSEBNI DIO 24-52'!L787,'POSEBNI DIO 24-52'!L197,'POSEBNI DIO 24-52'!L967,)</f>
        <v>0</v>
      </c>
      <c r="I135" s="321">
        <f>SUM('POSEBNI DIO 24-52'!M51,'POSEBNI DIO 24-52'!M176:M181,'POSEBNI DIO 24-52'!M691:M691,'POSEBNI DIO 24-52'!M749,'POSEBNI DIO 24-52'!M575,'POSEBNI DIO 24-52'!M192,'POSEBNI DIO 24-52'!M750,'POSEBNI DIO 24-52'!M193,'POSEBNI DIO 24-52'!M95,'POSEBNI DIO 24-52'!M364:M365,'POSEBNI DIO 24-52'!M195:M195,'POSEBNI DIO 24-52'!M194,'POSEBNI DIO 24-52'!M196,'POSEBNI DIO 24-52'!M198:M199,'POSEBNI DIO 24-52'!M182:M188,'POSEBNI DIO 24-52'!M786,'POSEBNI DIO 24-52'!M692,'POSEBNI DIO 24-52'!M925:M936,'POSEBNI DIO 24-52'!M940:M947,'POSEBNI DIO 24-52'!M948,'POSEBNI DIO 24-52'!M810,'POSEBNI DIO 24-52'!M528,'POSEBNI DIO 24-52'!M787,'POSEBNI DIO 24-52'!M197,'POSEBNI DIO 24-52'!M967,)</f>
        <v>0</v>
      </c>
      <c r="J135" s="321">
        <f>SUM('POSEBNI DIO 24-52'!N51,'POSEBNI DIO 24-52'!N176:N181,'POSEBNI DIO 24-52'!N691:N691,'POSEBNI DIO 24-52'!N749,'POSEBNI DIO 24-52'!N575,'POSEBNI DIO 24-52'!N192,'POSEBNI DIO 24-52'!N750,'POSEBNI DIO 24-52'!N193,'POSEBNI DIO 24-52'!N95,'POSEBNI DIO 24-52'!N364:N365,'POSEBNI DIO 24-52'!N195:N195,'POSEBNI DIO 24-52'!N194,'POSEBNI DIO 24-52'!N196,'POSEBNI DIO 24-52'!N198:N199,'POSEBNI DIO 24-52'!N182:N188,'POSEBNI DIO 24-52'!N786,'POSEBNI DIO 24-52'!N692,'POSEBNI DIO 24-52'!N925:N936,'POSEBNI DIO 24-52'!N940:N947,'POSEBNI DIO 24-52'!N948,'POSEBNI DIO 24-52'!N810,'POSEBNI DIO 24-52'!N528,'POSEBNI DIO 24-52'!N787,'POSEBNI DIO 24-52'!N197,'POSEBNI DIO 24-52'!N967,)</f>
        <v>0</v>
      </c>
      <c r="K135" s="321">
        <f>SUM('POSEBNI DIO 24-52'!O51,'POSEBNI DIO 24-52'!O176:O181,'POSEBNI DIO 24-52'!O691:O691,'POSEBNI DIO 24-52'!O749,'POSEBNI DIO 24-52'!O575,'POSEBNI DIO 24-52'!O192,'POSEBNI DIO 24-52'!O750,'POSEBNI DIO 24-52'!O193,'POSEBNI DIO 24-52'!O95,'POSEBNI DIO 24-52'!O364:O365,'POSEBNI DIO 24-52'!O195:O195,'POSEBNI DIO 24-52'!O194,'POSEBNI DIO 24-52'!O196,'POSEBNI DIO 24-52'!O198:O199,'POSEBNI DIO 24-52'!O182:O188,'POSEBNI DIO 24-52'!O786,'POSEBNI DIO 24-52'!O692,'POSEBNI DIO 24-52'!O925:O936,'POSEBNI DIO 24-52'!O940:O947,'POSEBNI DIO 24-52'!O948,'POSEBNI DIO 24-52'!O810,'POSEBNI DIO 24-52'!O528,'POSEBNI DIO 24-52'!O787,'POSEBNI DIO 24-52'!O197,'POSEBNI DIO 24-52'!O967,)</f>
        <v>3707500</v>
      </c>
      <c r="L135" s="321">
        <f>SUM('POSEBNI DIO 24-52'!P51,'POSEBNI DIO 24-52'!P176:P181,'POSEBNI DIO 24-52'!P691:P691,'POSEBNI DIO 24-52'!P749,'POSEBNI DIO 24-52'!P575,'POSEBNI DIO 24-52'!P192,'POSEBNI DIO 24-52'!P750,'POSEBNI DIO 24-52'!P193,'POSEBNI DIO 24-52'!P95,'POSEBNI DIO 24-52'!P364:P365,'POSEBNI DIO 24-52'!P195:P195,'POSEBNI DIO 24-52'!P194,'POSEBNI DIO 24-52'!P196,'POSEBNI DIO 24-52'!P198:P199,'POSEBNI DIO 24-52'!P182:P188,'POSEBNI DIO 24-52'!P786,'POSEBNI DIO 24-52'!P692,'POSEBNI DIO 24-52'!P925:P936,'POSEBNI DIO 24-52'!P940:P947,'POSEBNI DIO 24-52'!P948,'POSEBNI DIO 24-52'!P810,'POSEBNI DIO 24-52'!P528,'POSEBNI DIO 24-52'!P787,'POSEBNI DIO 24-52'!P197,'POSEBNI DIO 24-52'!P967,)</f>
        <v>3732500</v>
      </c>
    </row>
    <row r="136" spans="1:12" ht="30" customHeight="1">
      <c r="A136" s="257">
        <v>614320</v>
      </c>
      <c r="B136" s="330" t="s">
        <v>481</v>
      </c>
      <c r="C136" s="256">
        <f>SUM('POSEBNI DIO 24-52'!G201:G207,'POSEBNI DIO 24-52'!G208,'POSEBNI DIO 24-52'!G209:G210,'POSEBNI DIO 24-52'!G50,'POSEBNI DIO 24-52'!G211,'POSEBNI DIO 24-52'!G212,'POSEBNI DIO 24-52'!G427,'POSEBNI DIO 24-52'!G428,'POSEBNI DIO 24-52'!G214,'POSEBNI DIO 24-52'!G751,'POSEBNI DIO 24-52'!G950:G953,'POSEBNI DIO 24-52'!G213,)</f>
        <v>2803700</v>
      </c>
      <c r="D136" s="256">
        <f>SUM('POSEBNI DIO 24-52'!H201:H207,'POSEBNI DIO 24-52'!H208,'POSEBNI DIO 24-52'!H209:H210,'POSEBNI DIO 24-52'!H50,'POSEBNI DIO 24-52'!H211,'POSEBNI DIO 24-52'!H212,'POSEBNI DIO 24-52'!H427,'POSEBNI DIO 24-52'!H428,'POSEBNI DIO 24-52'!H214,'POSEBNI DIO 24-52'!H751,'POSEBNI DIO 24-52'!H950:H953,'POSEBNI DIO 24-52'!H213,)</f>
        <v>32000</v>
      </c>
      <c r="E136" s="256">
        <f>SUM('POSEBNI DIO 24-52'!I201:I207,'POSEBNI DIO 24-52'!I208,'POSEBNI DIO 24-52'!I209:I210,'POSEBNI DIO 24-52'!I50,'POSEBNI DIO 24-52'!I211,'POSEBNI DIO 24-52'!I212,'POSEBNI DIO 24-52'!I427,'POSEBNI DIO 24-52'!I428,'POSEBNI DIO 24-52'!I214,'POSEBNI DIO 24-52'!I751,'POSEBNI DIO 24-52'!I950:I953,'POSEBNI DIO 24-52'!I213,)</f>
        <v>0</v>
      </c>
      <c r="F136" s="256">
        <f>SUM('POSEBNI DIO 24-52'!J201:J207,'POSEBNI DIO 24-52'!J208,'POSEBNI DIO 24-52'!J209:J210,'POSEBNI DIO 24-52'!J50,'POSEBNI DIO 24-52'!J211,'POSEBNI DIO 24-52'!J212,'POSEBNI DIO 24-52'!J427,'POSEBNI DIO 24-52'!J428,'POSEBNI DIO 24-52'!J214,'POSEBNI DIO 24-52'!J751,'POSEBNI DIO 24-52'!J950:J953,'POSEBNI DIO 24-52'!J213,)</f>
        <v>2835700</v>
      </c>
      <c r="G136" s="256">
        <f>SUM('POSEBNI DIO 24-52'!K201:K207,'POSEBNI DIO 24-52'!K208,'POSEBNI DIO 24-52'!K209:K210,'POSEBNI DIO 24-52'!K50,'POSEBNI DIO 24-52'!K211,'POSEBNI DIO 24-52'!K212,'POSEBNI DIO 24-52'!K427,'POSEBNI DIO 24-52'!K428,'POSEBNI DIO 24-52'!K214,'POSEBNI DIO 24-52'!K751,'POSEBNI DIO 24-52'!K950:K953,'POSEBNI DIO 24-52'!K213,)</f>
        <v>0</v>
      </c>
      <c r="H136" s="256">
        <f>SUM('POSEBNI DIO 24-52'!L201:L207,'POSEBNI DIO 24-52'!L208,'POSEBNI DIO 24-52'!L209:L210,'POSEBNI DIO 24-52'!L50,'POSEBNI DIO 24-52'!L211,'POSEBNI DIO 24-52'!L212,'POSEBNI DIO 24-52'!L427,'POSEBNI DIO 24-52'!L428,'POSEBNI DIO 24-52'!L214,'POSEBNI DIO 24-52'!L751,'POSEBNI DIO 24-52'!L950:L953,'POSEBNI DIO 24-52'!L213,)</f>
        <v>0</v>
      </c>
      <c r="I136" s="256">
        <f>SUM('POSEBNI DIO 24-52'!M201:M207,'POSEBNI DIO 24-52'!M208,'POSEBNI DIO 24-52'!M209:M210,'POSEBNI DIO 24-52'!M50,'POSEBNI DIO 24-52'!M211,'POSEBNI DIO 24-52'!M212,'POSEBNI DIO 24-52'!M427,'POSEBNI DIO 24-52'!M428,'POSEBNI DIO 24-52'!M214,'POSEBNI DIO 24-52'!M751,'POSEBNI DIO 24-52'!M950:M953,'POSEBNI DIO 24-52'!M213,)</f>
        <v>0</v>
      </c>
      <c r="J136" s="256">
        <f>SUM('POSEBNI DIO 24-52'!N201:N207,'POSEBNI DIO 24-52'!N208,'POSEBNI DIO 24-52'!N209:N210,'POSEBNI DIO 24-52'!N50,'POSEBNI DIO 24-52'!N211,'POSEBNI DIO 24-52'!N212,'POSEBNI DIO 24-52'!N427,'POSEBNI DIO 24-52'!N428,'POSEBNI DIO 24-52'!N214,'POSEBNI DIO 24-52'!N751,'POSEBNI DIO 24-52'!N950:N953,'POSEBNI DIO 24-52'!N213,)</f>
        <v>0</v>
      </c>
      <c r="K136" s="256">
        <f>SUM('POSEBNI DIO 24-52'!O201:O207,'POSEBNI DIO 24-52'!O208,'POSEBNI DIO 24-52'!O209:O210,'POSEBNI DIO 24-52'!O50,'POSEBNI DIO 24-52'!O211,'POSEBNI DIO 24-52'!O212,'POSEBNI DIO 24-52'!O427,'POSEBNI DIO 24-52'!O428,'POSEBNI DIO 24-52'!O214,'POSEBNI DIO 24-52'!O751,'POSEBNI DIO 24-52'!O950:O953,'POSEBNI DIO 24-52'!O213,)</f>
        <v>2803700</v>
      </c>
      <c r="L136" s="256">
        <f>SUM('POSEBNI DIO 24-52'!P201:P207,'POSEBNI DIO 24-52'!P208,'POSEBNI DIO 24-52'!P209:P210,'POSEBNI DIO 24-52'!P50,'POSEBNI DIO 24-52'!P211,'POSEBNI DIO 24-52'!P212,'POSEBNI DIO 24-52'!P427,'POSEBNI DIO 24-52'!P428,'POSEBNI DIO 24-52'!P214,'POSEBNI DIO 24-52'!P751,'POSEBNI DIO 24-52'!P950:P953,'POSEBNI DIO 24-52'!P213,)</f>
        <v>2835700</v>
      </c>
    </row>
    <row r="137" spans="1:12" ht="30" customHeight="1">
      <c r="A137" s="313">
        <v>614320</v>
      </c>
      <c r="B137" s="328" t="s">
        <v>218</v>
      </c>
      <c r="C137" s="321">
        <f>SUM('POSEBNI DIO 24-52'!G200,'POSEBNI DIO 24-52'!G949,)</f>
        <v>20000</v>
      </c>
      <c r="D137" s="321">
        <f>SUM('POSEBNI DIO 24-52'!H200,'POSEBNI DIO 24-52'!H949,)</f>
        <v>0</v>
      </c>
      <c r="E137" s="321">
        <f>SUM('POSEBNI DIO 24-52'!I200,'POSEBNI DIO 24-52'!I949,)</f>
        <v>0</v>
      </c>
      <c r="F137" s="321">
        <f>SUM('POSEBNI DIO 24-52'!J200,'POSEBNI DIO 24-52'!J949,)</f>
        <v>20000</v>
      </c>
      <c r="G137" s="321">
        <f>SUM('POSEBNI DIO 24-52'!K200,'POSEBNI DIO 24-52'!K949,)</f>
        <v>0</v>
      </c>
      <c r="H137" s="321">
        <f>SUM('POSEBNI DIO 24-52'!L200,'POSEBNI DIO 24-52'!L949,)</f>
        <v>0</v>
      </c>
      <c r="I137" s="321">
        <f>SUM('POSEBNI DIO 24-52'!M200,'POSEBNI DIO 24-52'!M949,)</f>
        <v>0</v>
      </c>
      <c r="J137" s="321">
        <f>SUM('POSEBNI DIO 24-52'!N200,'POSEBNI DIO 24-52'!N949,)</f>
        <v>0</v>
      </c>
      <c r="K137" s="321">
        <f>SUM('POSEBNI DIO 24-52'!O200,'POSEBNI DIO 24-52'!O949,)</f>
        <v>20000</v>
      </c>
      <c r="L137" s="321">
        <f>SUM('POSEBNI DIO 24-52'!P200,'POSEBNI DIO 24-52'!P949,)</f>
        <v>20000</v>
      </c>
    </row>
    <row r="138" spans="1:12" ht="30" customHeight="1">
      <c r="A138" s="1436">
        <v>614400</v>
      </c>
      <c r="B138" s="1327" t="s">
        <v>1403</v>
      </c>
      <c r="C138" s="1012">
        <f>SUM(C139)</f>
        <v>0</v>
      </c>
      <c r="D138" s="1012">
        <f aca="true" t="shared" si="34" ref="D138:L138">SUM(D139)</f>
        <v>500000</v>
      </c>
      <c r="E138" s="1012">
        <f t="shared" si="34"/>
        <v>0</v>
      </c>
      <c r="F138" s="1012">
        <f t="shared" si="34"/>
        <v>500000</v>
      </c>
      <c r="G138" s="1012">
        <f t="shared" si="34"/>
        <v>0</v>
      </c>
      <c r="H138" s="1012">
        <f t="shared" si="34"/>
        <v>0</v>
      </c>
      <c r="I138" s="1012">
        <f t="shared" si="34"/>
        <v>0</v>
      </c>
      <c r="J138" s="1012">
        <f t="shared" si="34"/>
        <v>0</v>
      </c>
      <c r="K138" s="1012">
        <f t="shared" si="34"/>
        <v>0</v>
      </c>
      <c r="L138" s="1012">
        <f t="shared" si="34"/>
        <v>500000</v>
      </c>
    </row>
    <row r="139" spans="1:12" ht="30" customHeight="1">
      <c r="A139" s="313">
        <v>614410</v>
      </c>
      <c r="B139" s="1435" t="s">
        <v>1398</v>
      </c>
      <c r="C139" s="321">
        <f>SUM('POSEBNI DIO 24-52'!G215)</f>
        <v>0</v>
      </c>
      <c r="D139" s="321">
        <f>SUM('POSEBNI DIO 24-52'!H215)</f>
        <v>500000</v>
      </c>
      <c r="E139" s="321">
        <f>SUM('POSEBNI DIO 24-52'!I215)</f>
        <v>0</v>
      </c>
      <c r="F139" s="321">
        <f>SUM('POSEBNI DIO 24-52'!J215)</f>
        <v>500000</v>
      </c>
      <c r="G139" s="321">
        <f>SUM('POSEBNI DIO 24-52'!K215)</f>
        <v>0</v>
      </c>
      <c r="H139" s="321">
        <f>SUM('POSEBNI DIO 24-52'!L215)</f>
        <v>0</v>
      </c>
      <c r="I139" s="321">
        <f>SUM('POSEBNI DIO 24-52'!M215)</f>
        <v>0</v>
      </c>
      <c r="J139" s="321">
        <f>SUM('POSEBNI DIO 24-52'!N215)</f>
        <v>0</v>
      </c>
      <c r="K139" s="321">
        <f>SUM('POSEBNI DIO 24-52'!O215)</f>
        <v>0</v>
      </c>
      <c r="L139" s="321">
        <f>SUM('POSEBNI DIO 24-52'!P215)</f>
        <v>500000</v>
      </c>
    </row>
    <row r="140" spans="1:12" ht="30" customHeight="1">
      <c r="A140" s="242">
        <v>614500</v>
      </c>
      <c r="B140" s="1327" t="s">
        <v>1395</v>
      </c>
      <c r="C140" s="343">
        <f>SUM(C143,C141,C142,)</f>
        <v>150000</v>
      </c>
      <c r="D140" s="343">
        <f aca="true" t="shared" si="35" ref="D140:L140">SUM(D143,D141,D142,)</f>
        <v>620000</v>
      </c>
      <c r="E140" s="343">
        <f t="shared" si="35"/>
        <v>0</v>
      </c>
      <c r="F140" s="343">
        <f t="shared" si="35"/>
        <v>770000</v>
      </c>
      <c r="G140" s="343">
        <f t="shared" si="35"/>
        <v>0</v>
      </c>
      <c r="H140" s="343">
        <f t="shared" si="35"/>
        <v>0</v>
      </c>
      <c r="I140" s="343">
        <f t="shared" si="35"/>
        <v>0</v>
      </c>
      <c r="J140" s="343">
        <f t="shared" si="35"/>
        <v>0</v>
      </c>
      <c r="K140" s="343">
        <f t="shared" si="35"/>
        <v>150000</v>
      </c>
      <c r="L140" s="343">
        <f t="shared" si="35"/>
        <v>770000</v>
      </c>
    </row>
    <row r="141" spans="1:12" ht="30" customHeight="1">
      <c r="A141" s="1328">
        <v>614510</v>
      </c>
      <c r="B141" s="344" t="s">
        <v>781</v>
      </c>
      <c r="C141" s="321">
        <f>SUM('POSEBNI DIO 24-52'!G366,'POSEBNI DIO 24-52'!G380,)</f>
        <v>90000</v>
      </c>
      <c r="D141" s="321">
        <f>SUM('POSEBNI DIO 24-52'!H366,'POSEBNI DIO 24-52'!H380,)</f>
        <v>600000</v>
      </c>
      <c r="E141" s="321">
        <f>SUM('POSEBNI DIO 24-52'!I366,'POSEBNI DIO 24-52'!I380,)</f>
        <v>0</v>
      </c>
      <c r="F141" s="321">
        <f>SUM('POSEBNI DIO 24-52'!J366,'POSEBNI DIO 24-52'!J380,)</f>
        <v>690000</v>
      </c>
      <c r="G141" s="321">
        <f>SUM('POSEBNI DIO 24-52'!K366,'POSEBNI DIO 24-52'!K380,)</f>
        <v>0</v>
      </c>
      <c r="H141" s="321">
        <f>SUM('POSEBNI DIO 24-52'!L366,'POSEBNI DIO 24-52'!L380,)</f>
        <v>0</v>
      </c>
      <c r="I141" s="321">
        <f>SUM('POSEBNI DIO 24-52'!M366,'POSEBNI DIO 24-52'!M380,)</f>
        <v>0</v>
      </c>
      <c r="J141" s="321">
        <f>SUM('POSEBNI DIO 24-52'!N366,'POSEBNI DIO 24-52'!N380,)</f>
        <v>0</v>
      </c>
      <c r="K141" s="321">
        <f>SUM('POSEBNI DIO 24-52'!O366,'POSEBNI DIO 24-52'!O380,)</f>
        <v>90000</v>
      </c>
      <c r="L141" s="321">
        <f>SUM('POSEBNI DIO 24-52'!P366,'POSEBNI DIO 24-52'!P380,)</f>
        <v>690000</v>
      </c>
    </row>
    <row r="142" spans="1:12" ht="56.25" customHeight="1">
      <c r="A142" s="1329">
        <v>614515</v>
      </c>
      <c r="B142" s="1330" t="s">
        <v>1394</v>
      </c>
      <c r="C142" s="256">
        <f>SUM('POSEBNI DIO 24-52'!G367)</f>
        <v>0</v>
      </c>
      <c r="D142" s="256">
        <f>SUM('POSEBNI DIO 24-52'!H367)</f>
        <v>20000</v>
      </c>
      <c r="E142" s="256">
        <f>SUM('POSEBNI DIO 24-52'!I367)</f>
        <v>0</v>
      </c>
      <c r="F142" s="256">
        <f>SUM('POSEBNI DIO 24-52'!J367)</f>
        <v>20000</v>
      </c>
      <c r="G142" s="256">
        <f>SUM('POSEBNI DIO 24-52'!K367)</f>
        <v>0</v>
      </c>
      <c r="H142" s="256">
        <f>SUM('POSEBNI DIO 24-52'!L367)</f>
        <v>0</v>
      </c>
      <c r="I142" s="256">
        <f>SUM('POSEBNI DIO 24-52'!M367)</f>
        <v>0</v>
      </c>
      <c r="J142" s="256">
        <f>SUM('POSEBNI DIO 24-52'!N367)</f>
        <v>0</v>
      </c>
      <c r="K142" s="256">
        <f>SUM('POSEBNI DIO 24-52'!O367)</f>
        <v>0</v>
      </c>
      <c r="L142" s="256">
        <f>SUM('POSEBNI DIO 24-52'!P367)</f>
        <v>20000</v>
      </c>
    </row>
    <row r="143" spans="1:12" ht="30" customHeight="1">
      <c r="A143" s="313">
        <v>614530</v>
      </c>
      <c r="B143" s="328" t="s">
        <v>46</v>
      </c>
      <c r="C143" s="321">
        <f>SUM('POSEBNI DIO 24-52'!G368)</f>
        <v>60000</v>
      </c>
      <c r="D143" s="321">
        <f>SUM('POSEBNI DIO 24-52'!H368)</f>
        <v>0</v>
      </c>
      <c r="E143" s="321">
        <f>SUM('POSEBNI DIO 24-52'!I368)</f>
        <v>0</v>
      </c>
      <c r="F143" s="321">
        <f>SUM('POSEBNI DIO 24-52'!J368)</f>
        <v>60000</v>
      </c>
      <c r="G143" s="321">
        <f>SUM('POSEBNI DIO 24-52'!K368)</f>
        <v>0</v>
      </c>
      <c r="H143" s="321">
        <f>SUM('POSEBNI DIO 24-52'!L368)</f>
        <v>0</v>
      </c>
      <c r="I143" s="321">
        <f>SUM('POSEBNI DIO 24-52'!M368)</f>
        <v>0</v>
      </c>
      <c r="J143" s="321">
        <f>SUM('POSEBNI DIO 24-52'!N368)</f>
        <v>0</v>
      </c>
      <c r="K143" s="321">
        <f>SUM('POSEBNI DIO 24-52'!O368)</f>
        <v>60000</v>
      </c>
      <c r="L143" s="321">
        <f>SUM('POSEBNI DIO 24-52'!P368)</f>
        <v>60000</v>
      </c>
    </row>
    <row r="144" spans="1:12" ht="33" customHeight="1">
      <c r="A144" s="261">
        <v>614800</v>
      </c>
      <c r="B144" s="345" t="s">
        <v>219</v>
      </c>
      <c r="C144" s="271">
        <f aca="true" t="shared" si="36" ref="C144:L144">SUM(C145)</f>
        <v>149000</v>
      </c>
      <c r="D144" s="271">
        <f t="shared" si="36"/>
        <v>0</v>
      </c>
      <c r="E144" s="271">
        <f t="shared" si="36"/>
        <v>0</v>
      </c>
      <c r="F144" s="271">
        <f t="shared" si="36"/>
        <v>149000</v>
      </c>
      <c r="G144" s="271">
        <f t="shared" si="36"/>
        <v>0</v>
      </c>
      <c r="H144" s="271">
        <f t="shared" si="36"/>
        <v>0</v>
      </c>
      <c r="I144" s="271">
        <f t="shared" si="36"/>
        <v>0</v>
      </c>
      <c r="J144" s="271">
        <f t="shared" si="36"/>
        <v>0</v>
      </c>
      <c r="K144" s="271">
        <f t="shared" si="36"/>
        <v>149000</v>
      </c>
      <c r="L144" s="271">
        <f t="shared" si="36"/>
        <v>149000</v>
      </c>
    </row>
    <row r="145" spans="1:12" ht="24.75" customHeight="1">
      <c r="A145" s="313">
        <v>614811</v>
      </c>
      <c r="B145" s="328" t="s">
        <v>655</v>
      </c>
      <c r="C145" s="321">
        <f>SUM('POSEBNI DIO 24-52'!G146,)</f>
        <v>149000</v>
      </c>
      <c r="D145" s="321">
        <f>SUM('POSEBNI DIO 24-52'!H146,)</f>
        <v>0</v>
      </c>
      <c r="E145" s="321">
        <f>SUM('POSEBNI DIO 24-52'!I146,)</f>
        <v>0</v>
      </c>
      <c r="F145" s="321">
        <f>SUM('POSEBNI DIO 24-52'!J146,)</f>
        <v>149000</v>
      </c>
      <c r="G145" s="321">
        <f>SUM('POSEBNI DIO 24-52'!K146,)</f>
        <v>0</v>
      </c>
      <c r="H145" s="321">
        <f>SUM('POSEBNI DIO 24-52'!L146,)</f>
        <v>0</v>
      </c>
      <c r="I145" s="321">
        <f>SUM('POSEBNI DIO 24-52'!M146,)</f>
        <v>0</v>
      </c>
      <c r="J145" s="321">
        <f>SUM('POSEBNI DIO 24-52'!N146,)</f>
        <v>0</v>
      </c>
      <c r="K145" s="321">
        <f>SUM('POSEBNI DIO 24-52'!O146,)</f>
        <v>149000</v>
      </c>
      <c r="L145" s="321">
        <f>SUM('POSEBNI DIO 24-52'!P146,)</f>
        <v>149000</v>
      </c>
    </row>
    <row r="146" spans="1:12" ht="33" customHeight="1">
      <c r="A146" s="300"/>
      <c r="B146" s="322" t="s">
        <v>220</v>
      </c>
      <c r="C146" s="271">
        <f>SUM(C144,C134,C120,C140,C116,C138,)</f>
        <v>8463600</v>
      </c>
      <c r="D146" s="271">
        <f aca="true" t="shared" si="37" ref="D146:L146">SUM(D144,D134,D120,D140,D116,D138,)</f>
        <v>1867000</v>
      </c>
      <c r="E146" s="271">
        <f t="shared" si="37"/>
        <v>180000</v>
      </c>
      <c r="F146" s="271">
        <f t="shared" si="37"/>
        <v>10150600</v>
      </c>
      <c r="G146" s="271">
        <f t="shared" si="37"/>
        <v>899000</v>
      </c>
      <c r="H146" s="271">
        <f t="shared" si="37"/>
        <v>0</v>
      </c>
      <c r="I146" s="271">
        <f t="shared" si="37"/>
        <v>0</v>
      </c>
      <c r="J146" s="271">
        <f t="shared" si="37"/>
        <v>899000</v>
      </c>
      <c r="K146" s="271">
        <f t="shared" si="37"/>
        <v>9362600</v>
      </c>
      <c r="L146" s="271">
        <f t="shared" si="37"/>
        <v>11049600</v>
      </c>
    </row>
    <row r="147" spans="1:12" ht="45" customHeight="1">
      <c r="A147" s="296">
        <v>615000</v>
      </c>
      <c r="B147" s="346" t="s">
        <v>41</v>
      </c>
      <c r="C147" s="298"/>
      <c r="D147" s="298"/>
      <c r="E147" s="298"/>
      <c r="F147" s="298"/>
      <c r="G147" s="298"/>
      <c r="H147" s="298"/>
      <c r="I147" s="298"/>
      <c r="J147" s="298"/>
      <c r="K147" s="298"/>
      <c r="L147" s="298"/>
    </row>
    <row r="148" spans="1:12" ht="37.5" customHeight="1">
      <c r="A148" s="289">
        <v>615200</v>
      </c>
      <c r="B148" s="348" t="s">
        <v>490</v>
      </c>
      <c r="C148" s="350">
        <f aca="true" t="shared" si="38" ref="C148:L148">SUM(C149,C150:C150)</f>
        <v>1030000</v>
      </c>
      <c r="D148" s="350">
        <f t="shared" si="38"/>
        <v>0</v>
      </c>
      <c r="E148" s="350">
        <f t="shared" si="38"/>
        <v>0</v>
      </c>
      <c r="F148" s="350">
        <f t="shared" si="38"/>
        <v>1030000</v>
      </c>
      <c r="G148" s="350">
        <f t="shared" si="38"/>
        <v>0</v>
      </c>
      <c r="H148" s="350">
        <f t="shared" si="38"/>
        <v>0</v>
      </c>
      <c r="I148" s="350">
        <f t="shared" si="38"/>
        <v>0</v>
      </c>
      <c r="J148" s="350">
        <f t="shared" si="38"/>
        <v>0</v>
      </c>
      <c r="K148" s="350">
        <f t="shared" si="38"/>
        <v>1030000</v>
      </c>
      <c r="L148" s="350">
        <f t="shared" si="38"/>
        <v>1030000</v>
      </c>
    </row>
    <row r="149" spans="1:12" ht="33.75" customHeight="1">
      <c r="A149" s="349">
        <v>615210</v>
      </c>
      <c r="B149" s="340" t="s">
        <v>206</v>
      </c>
      <c r="C149" s="321">
        <f>SUM('POSEBNI DIO 24-52'!G788:G789,'POSEBNI DIO 24-52'!G752,)</f>
        <v>15000</v>
      </c>
      <c r="D149" s="321">
        <f>SUM('POSEBNI DIO 24-52'!H788:H789,'POSEBNI DIO 24-52'!H752,)</f>
        <v>0</v>
      </c>
      <c r="E149" s="321">
        <f>SUM('POSEBNI DIO 24-52'!I788:I789,'POSEBNI DIO 24-52'!I752,)</f>
        <v>0</v>
      </c>
      <c r="F149" s="321">
        <f>SUM('POSEBNI DIO 24-52'!J788:J789,'POSEBNI DIO 24-52'!J752,)</f>
        <v>15000</v>
      </c>
      <c r="G149" s="321">
        <f>SUM('POSEBNI DIO 24-52'!K788:K789,'POSEBNI DIO 24-52'!K752,)</f>
        <v>0</v>
      </c>
      <c r="H149" s="321">
        <f>SUM('POSEBNI DIO 24-52'!L788:L789,'POSEBNI DIO 24-52'!L752,)</f>
        <v>0</v>
      </c>
      <c r="I149" s="321">
        <f>SUM('POSEBNI DIO 24-52'!M788:M789,'POSEBNI DIO 24-52'!M752,)</f>
        <v>0</v>
      </c>
      <c r="J149" s="321">
        <f>SUM('POSEBNI DIO 24-52'!N788:N789,'POSEBNI DIO 24-52'!N752,)</f>
        <v>0</v>
      </c>
      <c r="K149" s="321">
        <f>SUM('POSEBNI DIO 24-52'!O788:O789,'POSEBNI DIO 24-52'!O752,)</f>
        <v>15000</v>
      </c>
      <c r="L149" s="321">
        <f>SUM('POSEBNI DIO 24-52'!P788:P789,'POSEBNI DIO 24-52'!P752,)</f>
        <v>15000</v>
      </c>
    </row>
    <row r="150" spans="1:12" ht="90.75" customHeight="1">
      <c r="A150" s="837">
        <v>615210</v>
      </c>
      <c r="B150" s="838" t="s">
        <v>966</v>
      </c>
      <c r="C150" s="253">
        <f>SUM('POSEBNI DIO 24-52'!G529,'POSEBNI DIO 24-52'!G530,)</f>
        <v>1015000</v>
      </c>
      <c r="D150" s="253">
        <f>SUM('POSEBNI DIO 24-52'!H529,'POSEBNI DIO 24-52'!H530,)</f>
        <v>0</v>
      </c>
      <c r="E150" s="253">
        <f>SUM('POSEBNI DIO 24-52'!I529,'POSEBNI DIO 24-52'!I530,)</f>
        <v>0</v>
      </c>
      <c r="F150" s="253">
        <f>SUM('POSEBNI DIO 24-52'!J529,'POSEBNI DIO 24-52'!J530,)</f>
        <v>1015000</v>
      </c>
      <c r="G150" s="253">
        <f>SUM('POSEBNI DIO 24-52'!K529,'POSEBNI DIO 24-52'!K530,)</f>
        <v>0</v>
      </c>
      <c r="H150" s="253">
        <f>SUM('POSEBNI DIO 24-52'!L529,'POSEBNI DIO 24-52'!L530,)</f>
        <v>0</v>
      </c>
      <c r="I150" s="253">
        <f>SUM('POSEBNI DIO 24-52'!M529,'POSEBNI DIO 24-52'!M530,)</f>
        <v>0</v>
      </c>
      <c r="J150" s="253">
        <f>SUM('POSEBNI DIO 24-52'!N529,'POSEBNI DIO 24-52'!N530,)</f>
        <v>0</v>
      </c>
      <c r="K150" s="253">
        <f>SUM('POSEBNI DIO 24-52'!O529,'POSEBNI DIO 24-52'!O530,)</f>
        <v>1015000</v>
      </c>
      <c r="L150" s="253">
        <f>SUM('POSEBNI DIO 24-52'!P529,'POSEBNI DIO 24-52'!P530,)</f>
        <v>1015000</v>
      </c>
    </row>
    <row r="151" spans="1:12" ht="36" customHeight="1">
      <c r="A151" s="305">
        <v>615300</v>
      </c>
      <c r="B151" s="351" t="s">
        <v>535</v>
      </c>
      <c r="C151" s="264">
        <f aca="true" t="shared" si="39" ref="C151:L151">SUM(C152:C152)</f>
        <v>160000</v>
      </c>
      <c r="D151" s="264">
        <f t="shared" si="39"/>
        <v>0</v>
      </c>
      <c r="E151" s="264">
        <f t="shared" si="39"/>
        <v>60000</v>
      </c>
      <c r="F151" s="264">
        <f t="shared" si="39"/>
        <v>100000</v>
      </c>
      <c r="G151" s="264">
        <f t="shared" si="39"/>
        <v>0</v>
      </c>
      <c r="H151" s="264">
        <f t="shared" si="39"/>
        <v>0</v>
      </c>
      <c r="I151" s="264">
        <f t="shared" si="39"/>
        <v>0</v>
      </c>
      <c r="J151" s="264">
        <f t="shared" si="39"/>
        <v>0</v>
      </c>
      <c r="K151" s="264">
        <f t="shared" si="39"/>
        <v>160000</v>
      </c>
      <c r="L151" s="264">
        <f t="shared" si="39"/>
        <v>100000</v>
      </c>
    </row>
    <row r="152" spans="1:12" ht="54" customHeight="1">
      <c r="A152" s="275">
        <v>615310</v>
      </c>
      <c r="B152" s="352" t="s">
        <v>1201</v>
      </c>
      <c r="C152" s="253">
        <f>SUM('POSEBNI DIO 24-52'!G753,'POSEBNI DIO 24-52'!G954,'POSEBNI DIO 24-52'!G97,'POSEBNI DIO 24-52'!G369,)</f>
        <v>160000</v>
      </c>
      <c r="D152" s="253">
        <f>SUM('POSEBNI DIO 24-52'!H753,'POSEBNI DIO 24-52'!H954,'POSEBNI DIO 24-52'!H97,'POSEBNI DIO 24-52'!H369,)</f>
        <v>0</v>
      </c>
      <c r="E152" s="253">
        <f>SUM('POSEBNI DIO 24-52'!I753,'POSEBNI DIO 24-52'!I954,'POSEBNI DIO 24-52'!I97,'POSEBNI DIO 24-52'!I369,)</f>
        <v>60000</v>
      </c>
      <c r="F152" s="253">
        <f>SUM('POSEBNI DIO 24-52'!J753,'POSEBNI DIO 24-52'!J954,'POSEBNI DIO 24-52'!J97,'POSEBNI DIO 24-52'!J369,)</f>
        <v>100000</v>
      </c>
      <c r="G152" s="253">
        <f>SUM('POSEBNI DIO 24-52'!K753,'POSEBNI DIO 24-52'!K954,'POSEBNI DIO 24-52'!K97,'POSEBNI DIO 24-52'!K369,)</f>
        <v>0</v>
      </c>
      <c r="H152" s="253">
        <f>SUM('POSEBNI DIO 24-52'!L753,'POSEBNI DIO 24-52'!L954,'POSEBNI DIO 24-52'!L97,'POSEBNI DIO 24-52'!L369,)</f>
        <v>0</v>
      </c>
      <c r="I152" s="253">
        <f>SUM('POSEBNI DIO 24-52'!M753,'POSEBNI DIO 24-52'!M954,'POSEBNI DIO 24-52'!M97,'POSEBNI DIO 24-52'!M369,)</f>
        <v>0</v>
      </c>
      <c r="J152" s="253">
        <f>SUM('POSEBNI DIO 24-52'!N753,'POSEBNI DIO 24-52'!N954,'POSEBNI DIO 24-52'!N97,'POSEBNI DIO 24-52'!N369,)</f>
        <v>0</v>
      </c>
      <c r="K152" s="253">
        <f>SUM('POSEBNI DIO 24-52'!O753,'POSEBNI DIO 24-52'!O954,'POSEBNI DIO 24-52'!O97,'POSEBNI DIO 24-52'!O369,)</f>
        <v>160000</v>
      </c>
      <c r="L152" s="253">
        <f>SUM('POSEBNI DIO 24-52'!P753,'POSEBNI DIO 24-52'!P954,'POSEBNI DIO 24-52'!P97,'POSEBNI DIO 24-52'!P369,)</f>
        <v>100000</v>
      </c>
    </row>
    <row r="153" spans="1:12" ht="31.5" customHeight="1">
      <c r="A153" s="305">
        <v>615400</v>
      </c>
      <c r="B153" s="353" t="s">
        <v>272</v>
      </c>
      <c r="C153" s="264">
        <f aca="true" t="shared" si="40" ref="C153:L153">SUM(C154,)</f>
        <v>550000</v>
      </c>
      <c r="D153" s="264">
        <f t="shared" si="40"/>
        <v>800000</v>
      </c>
      <c r="E153" s="264">
        <f t="shared" si="40"/>
        <v>500000</v>
      </c>
      <c r="F153" s="264">
        <f t="shared" si="40"/>
        <v>850000</v>
      </c>
      <c r="G153" s="264">
        <f t="shared" si="40"/>
        <v>0</v>
      </c>
      <c r="H153" s="264">
        <f t="shared" si="40"/>
        <v>0</v>
      </c>
      <c r="I153" s="264">
        <f t="shared" si="40"/>
        <v>0</v>
      </c>
      <c r="J153" s="264">
        <f t="shared" si="40"/>
        <v>0</v>
      </c>
      <c r="K153" s="264">
        <f t="shared" si="40"/>
        <v>550000</v>
      </c>
      <c r="L153" s="264">
        <f t="shared" si="40"/>
        <v>850000</v>
      </c>
    </row>
    <row r="154" spans="1:12" ht="84" customHeight="1">
      <c r="A154" s="275">
        <v>615410</v>
      </c>
      <c r="B154" s="842" t="s">
        <v>1404</v>
      </c>
      <c r="C154" s="253">
        <f>SUM('POSEBNI DIO 24-52'!G217:G218,'POSEBNI DIO 24-52'!G370,'POSEBNI DIO 24-52'!G531,'POSEBNI DIO 24-52'!G216,'POSEBNI DIO 24-52'!G457,)</f>
        <v>550000</v>
      </c>
      <c r="D154" s="253">
        <f>SUM('POSEBNI DIO 24-52'!H217:H218,'POSEBNI DIO 24-52'!H370,'POSEBNI DIO 24-52'!H531,'POSEBNI DIO 24-52'!H216,'POSEBNI DIO 24-52'!H457,)</f>
        <v>800000</v>
      </c>
      <c r="E154" s="253">
        <f>SUM('POSEBNI DIO 24-52'!I217:I218,'POSEBNI DIO 24-52'!I370,'POSEBNI DIO 24-52'!I531,'POSEBNI DIO 24-52'!I216,'POSEBNI DIO 24-52'!I457,)</f>
        <v>500000</v>
      </c>
      <c r="F154" s="253">
        <f>SUM('POSEBNI DIO 24-52'!J217:J218,'POSEBNI DIO 24-52'!J370,'POSEBNI DIO 24-52'!J531,'POSEBNI DIO 24-52'!J216,'POSEBNI DIO 24-52'!J457,)</f>
        <v>850000</v>
      </c>
      <c r="G154" s="253">
        <f>SUM('POSEBNI DIO 24-52'!K217:K218,'POSEBNI DIO 24-52'!K370,'POSEBNI DIO 24-52'!K531,'POSEBNI DIO 24-52'!K216,'POSEBNI DIO 24-52'!K457,)</f>
        <v>0</v>
      </c>
      <c r="H154" s="253">
        <f>SUM('POSEBNI DIO 24-52'!L217:L218,'POSEBNI DIO 24-52'!L370,'POSEBNI DIO 24-52'!L531,'POSEBNI DIO 24-52'!L216,'POSEBNI DIO 24-52'!L457,)</f>
        <v>0</v>
      </c>
      <c r="I154" s="253">
        <f>SUM('POSEBNI DIO 24-52'!M217:M218,'POSEBNI DIO 24-52'!M370,'POSEBNI DIO 24-52'!M531,'POSEBNI DIO 24-52'!M216,'POSEBNI DIO 24-52'!M457,)</f>
        <v>0</v>
      </c>
      <c r="J154" s="253">
        <f>SUM('POSEBNI DIO 24-52'!N217:N218,'POSEBNI DIO 24-52'!N370,'POSEBNI DIO 24-52'!N531,'POSEBNI DIO 24-52'!N216,'POSEBNI DIO 24-52'!N457,)</f>
        <v>0</v>
      </c>
      <c r="K154" s="253">
        <f>SUM('POSEBNI DIO 24-52'!O217:O218,'POSEBNI DIO 24-52'!O370,'POSEBNI DIO 24-52'!O531,'POSEBNI DIO 24-52'!O216,'POSEBNI DIO 24-52'!O457,)</f>
        <v>550000</v>
      </c>
      <c r="L154" s="253">
        <f>SUM('POSEBNI DIO 24-52'!P217:P218,'POSEBNI DIO 24-52'!P370,'POSEBNI DIO 24-52'!P531,'POSEBNI DIO 24-52'!P216,'POSEBNI DIO 24-52'!P457,)</f>
        <v>850000</v>
      </c>
    </row>
    <row r="155" spans="1:12" ht="33" customHeight="1">
      <c r="A155" s="305">
        <v>615700</v>
      </c>
      <c r="B155" s="354" t="s">
        <v>779</v>
      </c>
      <c r="C155" s="264">
        <f aca="true" t="shared" si="41" ref="C155:L155">SUM(C156)</f>
        <v>15000</v>
      </c>
      <c r="D155" s="264">
        <f t="shared" si="41"/>
        <v>0</v>
      </c>
      <c r="E155" s="264">
        <f t="shared" si="41"/>
        <v>0</v>
      </c>
      <c r="F155" s="264">
        <f t="shared" si="41"/>
        <v>15000</v>
      </c>
      <c r="G155" s="264">
        <f t="shared" si="41"/>
        <v>0</v>
      </c>
      <c r="H155" s="264">
        <f t="shared" si="41"/>
        <v>0</v>
      </c>
      <c r="I155" s="264">
        <f t="shared" si="41"/>
        <v>0</v>
      </c>
      <c r="J155" s="264">
        <f t="shared" si="41"/>
        <v>0</v>
      </c>
      <c r="K155" s="264">
        <f t="shared" si="41"/>
        <v>15000</v>
      </c>
      <c r="L155" s="264">
        <f t="shared" si="41"/>
        <v>15000</v>
      </c>
    </row>
    <row r="156" spans="1:12" ht="30" customHeight="1">
      <c r="A156" s="275">
        <v>615720</v>
      </c>
      <c r="B156" s="355" t="s">
        <v>780</v>
      </c>
      <c r="C156" s="253">
        <f>SUM('POSEBNI DIO 24-52'!G96,'POSEBNI DIO 24-52'!G219,'POSEBNI DIO 24-52'!G754,)</f>
        <v>15000</v>
      </c>
      <c r="D156" s="253">
        <f>SUM('POSEBNI DIO 24-52'!H96,'POSEBNI DIO 24-52'!H219,'POSEBNI DIO 24-52'!H754,)</f>
        <v>0</v>
      </c>
      <c r="E156" s="253">
        <f>SUM('POSEBNI DIO 24-52'!I96,'POSEBNI DIO 24-52'!I219,'POSEBNI DIO 24-52'!I754,)</f>
        <v>0</v>
      </c>
      <c r="F156" s="253">
        <f>SUM('POSEBNI DIO 24-52'!J96,'POSEBNI DIO 24-52'!J219,'POSEBNI DIO 24-52'!J754,)</f>
        <v>15000</v>
      </c>
      <c r="G156" s="253">
        <f>SUM('POSEBNI DIO 24-52'!K96,'POSEBNI DIO 24-52'!K219,'POSEBNI DIO 24-52'!K754,)</f>
        <v>0</v>
      </c>
      <c r="H156" s="253">
        <f>SUM('POSEBNI DIO 24-52'!L96,'POSEBNI DIO 24-52'!L219,'POSEBNI DIO 24-52'!L754,)</f>
        <v>0</v>
      </c>
      <c r="I156" s="253">
        <f>SUM('POSEBNI DIO 24-52'!M96,'POSEBNI DIO 24-52'!M219,'POSEBNI DIO 24-52'!M754,)</f>
        <v>0</v>
      </c>
      <c r="J156" s="253">
        <f>SUM('POSEBNI DIO 24-52'!N96,'POSEBNI DIO 24-52'!N219,'POSEBNI DIO 24-52'!N754,)</f>
        <v>0</v>
      </c>
      <c r="K156" s="253">
        <f>SUM('POSEBNI DIO 24-52'!O96,'POSEBNI DIO 24-52'!O219,'POSEBNI DIO 24-52'!O754,)</f>
        <v>15000</v>
      </c>
      <c r="L156" s="253">
        <f>SUM('POSEBNI DIO 24-52'!P96,'POSEBNI DIO 24-52'!P219,'POSEBNI DIO 24-52'!P754,)</f>
        <v>15000</v>
      </c>
    </row>
    <row r="157" spans="1:12" ht="33" customHeight="1">
      <c r="A157" s="300"/>
      <c r="B157" s="322" t="s">
        <v>221</v>
      </c>
      <c r="C157" s="264">
        <f aca="true" t="shared" si="42" ref="C157:L157">SUM(C153,C151,C148,C155,)</f>
        <v>1755000</v>
      </c>
      <c r="D157" s="264">
        <f t="shared" si="42"/>
        <v>800000</v>
      </c>
      <c r="E157" s="264">
        <f t="shared" si="42"/>
        <v>560000</v>
      </c>
      <c r="F157" s="264">
        <f t="shared" si="42"/>
        <v>1995000</v>
      </c>
      <c r="G157" s="264">
        <f t="shared" si="42"/>
        <v>0</v>
      </c>
      <c r="H157" s="264">
        <f t="shared" si="42"/>
        <v>0</v>
      </c>
      <c r="I157" s="264">
        <f t="shared" si="42"/>
        <v>0</v>
      </c>
      <c r="J157" s="264">
        <f t="shared" si="42"/>
        <v>0</v>
      </c>
      <c r="K157" s="264">
        <f t="shared" si="42"/>
        <v>1755000</v>
      </c>
      <c r="L157" s="264">
        <f t="shared" si="42"/>
        <v>1995000</v>
      </c>
    </row>
    <row r="158" spans="1:12" ht="27.75" customHeight="1">
      <c r="A158" s="296">
        <v>616000</v>
      </c>
      <c r="B158" s="346" t="s">
        <v>523</v>
      </c>
      <c r="C158" s="291"/>
      <c r="D158" s="291"/>
      <c r="E158" s="291"/>
      <c r="F158" s="291"/>
      <c r="G158" s="291"/>
      <c r="H158" s="291"/>
      <c r="I158" s="291"/>
      <c r="J158" s="291"/>
      <c r="K158" s="291"/>
      <c r="L158" s="291"/>
    </row>
    <row r="159" spans="1:12" ht="30" customHeight="1">
      <c r="A159" s="356">
        <v>616000</v>
      </c>
      <c r="B159" s="357" t="s">
        <v>524</v>
      </c>
      <c r="C159" s="303">
        <f>SUM('POSEBNI DIO 24-52'!G458,'POSEBNI DIO 24-52'!G429,)</f>
        <v>317000</v>
      </c>
      <c r="D159" s="303">
        <f>SUM('POSEBNI DIO 24-52'!H458,'POSEBNI DIO 24-52'!H429,)</f>
        <v>0</v>
      </c>
      <c r="E159" s="303">
        <f>SUM('POSEBNI DIO 24-52'!I458,'POSEBNI DIO 24-52'!I429,)</f>
        <v>0</v>
      </c>
      <c r="F159" s="303">
        <f>SUM('POSEBNI DIO 24-52'!J458,'POSEBNI DIO 24-52'!J429,)</f>
        <v>317000</v>
      </c>
      <c r="G159" s="303">
        <f>SUM('POSEBNI DIO 24-52'!K458,'POSEBNI DIO 24-52'!K429,)</f>
        <v>0</v>
      </c>
      <c r="H159" s="303">
        <f>SUM('POSEBNI DIO 24-52'!L458,'POSEBNI DIO 24-52'!L429,)</f>
        <v>0</v>
      </c>
      <c r="I159" s="303">
        <f>SUM('POSEBNI DIO 24-52'!M458,'POSEBNI DIO 24-52'!M429,)</f>
        <v>0</v>
      </c>
      <c r="J159" s="303">
        <f>SUM('POSEBNI DIO 24-52'!N458,'POSEBNI DIO 24-52'!N429,)</f>
        <v>0</v>
      </c>
      <c r="K159" s="303">
        <f>SUM('POSEBNI DIO 24-52'!O458,'POSEBNI DIO 24-52'!O429,)</f>
        <v>317000</v>
      </c>
      <c r="L159" s="303">
        <f>SUM('POSEBNI DIO 24-52'!P458,'POSEBNI DIO 24-52'!P429,)</f>
        <v>317000</v>
      </c>
    </row>
    <row r="160" spans="1:12" ht="33" customHeight="1" thickBot="1">
      <c r="A160" s="358"/>
      <c r="B160" s="359" t="s">
        <v>222</v>
      </c>
      <c r="C160" s="281">
        <f aca="true" t="shared" si="43" ref="C160:L160">SUM(C159)</f>
        <v>317000</v>
      </c>
      <c r="D160" s="281">
        <f t="shared" si="43"/>
        <v>0</v>
      </c>
      <c r="E160" s="281">
        <f t="shared" si="43"/>
        <v>0</v>
      </c>
      <c r="F160" s="281">
        <f t="shared" si="43"/>
        <v>317000</v>
      </c>
      <c r="G160" s="281">
        <f t="shared" si="43"/>
        <v>0</v>
      </c>
      <c r="H160" s="281">
        <f t="shared" si="43"/>
        <v>0</v>
      </c>
      <c r="I160" s="281">
        <f t="shared" si="43"/>
        <v>0</v>
      </c>
      <c r="J160" s="281">
        <f t="shared" si="43"/>
        <v>0</v>
      </c>
      <c r="K160" s="281">
        <f t="shared" si="43"/>
        <v>317000</v>
      </c>
      <c r="L160" s="281">
        <f t="shared" si="43"/>
        <v>317000</v>
      </c>
    </row>
    <row r="161" spans="1:12" ht="25.5">
      <c r="A161" s="282"/>
      <c r="B161" s="282"/>
      <c r="C161" s="283"/>
      <c r="D161" s="283"/>
      <c r="E161" s="283"/>
      <c r="F161" s="283"/>
      <c r="G161" s="283"/>
      <c r="H161" s="283"/>
      <c r="I161" s="283"/>
      <c r="J161" s="283"/>
      <c r="K161" s="283"/>
      <c r="L161" s="283"/>
    </row>
    <row r="162" spans="1:12" ht="26.25" thickBot="1">
      <c r="A162" s="282"/>
      <c r="B162" s="282"/>
      <c r="C162" s="283"/>
      <c r="D162" s="283"/>
      <c r="E162" s="283"/>
      <c r="F162" s="283"/>
      <c r="G162" s="283"/>
      <c r="H162" s="283"/>
      <c r="I162" s="283"/>
      <c r="J162" s="283"/>
      <c r="K162" s="283"/>
      <c r="L162" s="283"/>
    </row>
    <row r="163" spans="1:12" s="236" customFormat="1" ht="291" customHeight="1">
      <c r="A163" s="284" t="s">
        <v>186</v>
      </c>
      <c r="B163" s="285" t="s">
        <v>496</v>
      </c>
      <c r="C163" s="816" t="s">
        <v>1130</v>
      </c>
      <c r="D163" s="816" t="s">
        <v>1363</v>
      </c>
      <c r="E163" s="816" t="s">
        <v>1364</v>
      </c>
      <c r="F163" s="816" t="s">
        <v>1365</v>
      </c>
      <c r="G163" s="816" t="s">
        <v>1185</v>
      </c>
      <c r="H163" s="816" t="s">
        <v>1366</v>
      </c>
      <c r="I163" s="816" t="s">
        <v>1367</v>
      </c>
      <c r="J163" s="816" t="s">
        <v>1368</v>
      </c>
      <c r="K163" s="816" t="s">
        <v>1131</v>
      </c>
      <c r="L163" s="816" t="s">
        <v>1362</v>
      </c>
    </row>
    <row r="164" spans="1:12" ht="21" customHeight="1">
      <c r="A164" s="286">
        <v>0</v>
      </c>
      <c r="B164" s="287">
        <v>1</v>
      </c>
      <c r="C164" s="239">
        <v>2</v>
      </c>
      <c r="D164" s="239">
        <v>3</v>
      </c>
      <c r="E164" s="239">
        <v>4</v>
      </c>
      <c r="F164" s="239">
        <v>5</v>
      </c>
      <c r="G164" s="239">
        <v>6</v>
      </c>
      <c r="H164" s="239">
        <v>7</v>
      </c>
      <c r="I164" s="239">
        <v>8</v>
      </c>
      <c r="J164" s="239">
        <v>9</v>
      </c>
      <c r="K164" s="239">
        <v>10</v>
      </c>
      <c r="L164" s="240">
        <v>11</v>
      </c>
    </row>
    <row r="165" spans="1:12" ht="45" customHeight="1">
      <c r="A165" s="261">
        <v>820000</v>
      </c>
      <c r="B165" s="360" t="s">
        <v>223</v>
      </c>
      <c r="C165" s="244"/>
      <c r="D165" s="244"/>
      <c r="E165" s="244"/>
      <c r="F165" s="244"/>
      <c r="G165" s="244"/>
      <c r="H165" s="244"/>
      <c r="I165" s="244"/>
      <c r="J165" s="244"/>
      <c r="K165" s="244"/>
      <c r="L165" s="245"/>
    </row>
    <row r="166" spans="1:12" ht="45" customHeight="1">
      <c r="A166" s="289">
        <v>821000</v>
      </c>
      <c r="B166" s="1112" t="s">
        <v>104</v>
      </c>
      <c r="C166" s="248"/>
      <c r="D166" s="248"/>
      <c r="E166" s="248"/>
      <c r="F166" s="248"/>
      <c r="G166" s="248"/>
      <c r="H166" s="248"/>
      <c r="I166" s="248"/>
      <c r="J166" s="248"/>
      <c r="K166" s="248"/>
      <c r="L166" s="249"/>
    </row>
    <row r="167" spans="1:12" ht="37.5" customHeight="1">
      <c r="A167" s="1109">
        <v>821100</v>
      </c>
      <c r="B167" s="1110" t="s">
        <v>980</v>
      </c>
      <c r="C167" s="1111">
        <f aca="true" t="shared" si="44" ref="C167:L167">SUM(C168)</f>
        <v>290500</v>
      </c>
      <c r="D167" s="1111">
        <f t="shared" si="44"/>
        <v>0</v>
      </c>
      <c r="E167" s="1111">
        <f t="shared" si="44"/>
        <v>0</v>
      </c>
      <c r="F167" s="1111">
        <f t="shared" si="44"/>
        <v>290500</v>
      </c>
      <c r="G167" s="1111">
        <f t="shared" si="44"/>
        <v>0</v>
      </c>
      <c r="H167" s="1111">
        <f t="shared" si="44"/>
        <v>0</v>
      </c>
      <c r="I167" s="1111">
        <f t="shared" si="44"/>
        <v>0</v>
      </c>
      <c r="J167" s="1111">
        <f t="shared" si="44"/>
        <v>0</v>
      </c>
      <c r="K167" s="1111">
        <f t="shared" si="44"/>
        <v>290500</v>
      </c>
      <c r="L167" s="1111">
        <f t="shared" si="44"/>
        <v>290500</v>
      </c>
    </row>
    <row r="168" spans="1:12" ht="39" customHeight="1">
      <c r="A168" s="275">
        <v>821100</v>
      </c>
      <c r="B168" s="362" t="s">
        <v>827</v>
      </c>
      <c r="C168" s="981">
        <f>SUM('POSEBNI DIO 24-52'!G595,'POSEBNI DIO 24-52'!G618,)</f>
        <v>290500</v>
      </c>
      <c r="D168" s="981">
        <f>SUM('POSEBNI DIO 24-52'!H595,'POSEBNI DIO 24-52'!H618,)</f>
        <v>0</v>
      </c>
      <c r="E168" s="981">
        <f>SUM('POSEBNI DIO 24-52'!I595,'POSEBNI DIO 24-52'!I618,)</f>
        <v>0</v>
      </c>
      <c r="F168" s="981">
        <f>SUM('POSEBNI DIO 24-52'!J595,'POSEBNI DIO 24-52'!J618,)</f>
        <v>290500</v>
      </c>
      <c r="G168" s="981">
        <f>SUM('POSEBNI DIO 24-52'!K595,'POSEBNI DIO 24-52'!K618,)</f>
        <v>0</v>
      </c>
      <c r="H168" s="981">
        <f>SUM('POSEBNI DIO 24-52'!L595,'POSEBNI DIO 24-52'!L618,)</f>
        <v>0</v>
      </c>
      <c r="I168" s="981">
        <f>SUM('POSEBNI DIO 24-52'!M595,'POSEBNI DIO 24-52'!M618,)</f>
        <v>0</v>
      </c>
      <c r="J168" s="981">
        <f>SUM('POSEBNI DIO 24-52'!N595,'POSEBNI DIO 24-52'!N618,)</f>
        <v>0</v>
      </c>
      <c r="K168" s="981">
        <f>SUM('POSEBNI DIO 24-52'!O595,'POSEBNI DIO 24-52'!O618,)</f>
        <v>290500</v>
      </c>
      <c r="L168" s="981">
        <f>SUM('POSEBNI DIO 24-52'!P595,'POSEBNI DIO 24-52'!P618,)</f>
        <v>290500</v>
      </c>
    </row>
    <row r="169" spans="1:12" ht="40.5" customHeight="1">
      <c r="A169" s="305">
        <v>821200</v>
      </c>
      <c r="B169" s="361" t="s">
        <v>671</v>
      </c>
      <c r="C169" s="319">
        <f aca="true" t="shared" si="45" ref="C169:L169">SUM(C170:C182)</f>
        <v>18085309.42</v>
      </c>
      <c r="D169" s="319">
        <f t="shared" si="45"/>
        <v>670000</v>
      </c>
      <c r="E169" s="319">
        <f t="shared" si="45"/>
        <v>1687300</v>
      </c>
      <c r="F169" s="319">
        <f t="shared" si="45"/>
        <v>17068009.42</v>
      </c>
      <c r="G169" s="319">
        <f t="shared" si="45"/>
        <v>4122528.83</v>
      </c>
      <c r="H169" s="319">
        <f t="shared" si="45"/>
        <v>11059.2</v>
      </c>
      <c r="I169" s="319">
        <f t="shared" si="45"/>
        <v>1000000</v>
      </c>
      <c r="J169" s="319">
        <f t="shared" si="45"/>
        <v>3133588.03</v>
      </c>
      <c r="K169" s="319">
        <f t="shared" si="45"/>
        <v>22207838.25</v>
      </c>
      <c r="L169" s="319">
        <f t="shared" si="45"/>
        <v>20201597.450000003</v>
      </c>
    </row>
    <row r="170" spans="1:12" ht="33" customHeight="1">
      <c r="A170" s="275">
        <v>821210</v>
      </c>
      <c r="B170" s="852" t="s">
        <v>931</v>
      </c>
      <c r="C170" s="363">
        <f>SUM('POSEBNI DIO 24-52'!G372,'POSEBNI DIO 24-52'!G508,'POSEBNI DIO 24-52'!G221,'POSEBNI DIO 24-52'!G533,)</f>
        <v>1020000</v>
      </c>
      <c r="D170" s="363">
        <f>SUM('POSEBNI DIO 24-52'!H372,'POSEBNI DIO 24-52'!H508,'POSEBNI DIO 24-52'!H221,'POSEBNI DIO 24-52'!H533,)</f>
        <v>0</v>
      </c>
      <c r="E170" s="363">
        <f>SUM('POSEBNI DIO 24-52'!I372,'POSEBNI DIO 24-52'!I508,'POSEBNI DIO 24-52'!I221,'POSEBNI DIO 24-52'!I533,)</f>
        <v>104300</v>
      </c>
      <c r="F170" s="363">
        <f>SUM('POSEBNI DIO 24-52'!J372,'POSEBNI DIO 24-52'!J508,'POSEBNI DIO 24-52'!J221,'POSEBNI DIO 24-52'!J533,)</f>
        <v>915700</v>
      </c>
      <c r="G170" s="363">
        <f>SUM('POSEBNI DIO 24-52'!K372,'POSEBNI DIO 24-52'!K508,'POSEBNI DIO 24-52'!K221,'POSEBNI DIO 24-52'!K533,)</f>
        <v>0</v>
      </c>
      <c r="H170" s="363">
        <f>SUM('POSEBNI DIO 24-52'!L372,'POSEBNI DIO 24-52'!L508,'POSEBNI DIO 24-52'!L221,'POSEBNI DIO 24-52'!L533,)</f>
        <v>0</v>
      </c>
      <c r="I170" s="363">
        <f>SUM('POSEBNI DIO 24-52'!M372,'POSEBNI DIO 24-52'!M508,'POSEBNI DIO 24-52'!M221,'POSEBNI DIO 24-52'!M533,)</f>
        <v>0</v>
      </c>
      <c r="J170" s="363">
        <f>SUM('POSEBNI DIO 24-52'!N372,'POSEBNI DIO 24-52'!N508,'POSEBNI DIO 24-52'!N221,'POSEBNI DIO 24-52'!N533,)</f>
        <v>0</v>
      </c>
      <c r="K170" s="363">
        <f>SUM('POSEBNI DIO 24-52'!O372,'POSEBNI DIO 24-52'!O508,'POSEBNI DIO 24-52'!O221,'POSEBNI DIO 24-52'!O533,)</f>
        <v>1020000</v>
      </c>
      <c r="L170" s="363">
        <f>SUM('POSEBNI DIO 24-52'!P372,'POSEBNI DIO 24-52'!P508,'POSEBNI DIO 24-52'!P221,'POSEBNI DIO 24-52'!P533,)</f>
        <v>915700</v>
      </c>
    </row>
    <row r="171" spans="1:12" ht="42.75" customHeight="1">
      <c r="A171" s="275">
        <v>821210</v>
      </c>
      <c r="B171" s="362" t="s">
        <v>763</v>
      </c>
      <c r="C171" s="363">
        <f>SUM('POSEBNI DIO 24-52'!G724,)</f>
        <v>0</v>
      </c>
      <c r="D171" s="363">
        <f>SUM('POSEBNI DIO 24-52'!H724,)</f>
        <v>0</v>
      </c>
      <c r="E171" s="363">
        <f>SUM('POSEBNI DIO 24-52'!I724,)</f>
        <v>0</v>
      </c>
      <c r="F171" s="363">
        <f>SUM('POSEBNI DIO 24-52'!J724,)</f>
        <v>0</v>
      </c>
      <c r="G171" s="363">
        <f>SUM('POSEBNI DIO 24-52'!K724,)</f>
        <v>0</v>
      </c>
      <c r="H171" s="363">
        <f>SUM('POSEBNI DIO 24-52'!L724,)</f>
        <v>0</v>
      </c>
      <c r="I171" s="363">
        <f>SUM('POSEBNI DIO 24-52'!M724,)</f>
        <v>0</v>
      </c>
      <c r="J171" s="363">
        <f>SUM('POSEBNI DIO 24-52'!N724,)</f>
        <v>0</v>
      </c>
      <c r="K171" s="363">
        <f>SUM('POSEBNI DIO 24-52'!O724,)</f>
        <v>0</v>
      </c>
      <c r="L171" s="363">
        <f>SUM('POSEBNI DIO 24-52'!P724,)</f>
        <v>0</v>
      </c>
    </row>
    <row r="172" spans="1:12" ht="42.75" customHeight="1">
      <c r="A172" s="275">
        <v>821210</v>
      </c>
      <c r="B172" s="362" t="s">
        <v>719</v>
      </c>
      <c r="C172" s="363">
        <f>SUM('POSEBNI DIO 24-52'!G464:G464,'POSEBNI DIO 24-52'!G467,)</f>
        <v>23273.34</v>
      </c>
      <c r="D172" s="363">
        <f>SUM('POSEBNI DIO 24-52'!H464:H464,'POSEBNI DIO 24-52'!H467,)</f>
        <v>0</v>
      </c>
      <c r="E172" s="363">
        <f>SUM('POSEBNI DIO 24-52'!I464:I464,'POSEBNI DIO 24-52'!I467,)</f>
        <v>0</v>
      </c>
      <c r="F172" s="363">
        <f>SUM('POSEBNI DIO 24-52'!J464:J464,'POSEBNI DIO 24-52'!J467,)</f>
        <v>23273.34</v>
      </c>
      <c r="G172" s="363">
        <f>SUM('POSEBNI DIO 24-52'!K464:K464,'POSEBNI DIO 24-52'!K467,)</f>
        <v>0</v>
      </c>
      <c r="H172" s="363">
        <f>SUM('POSEBNI DIO 24-52'!L464:L464,'POSEBNI DIO 24-52'!L467,)</f>
        <v>0</v>
      </c>
      <c r="I172" s="363">
        <f>SUM('POSEBNI DIO 24-52'!M464:M464,'POSEBNI DIO 24-52'!M467,)</f>
        <v>0</v>
      </c>
      <c r="J172" s="363">
        <f>SUM('POSEBNI DIO 24-52'!N464:N464,'POSEBNI DIO 24-52'!N467,)</f>
        <v>0</v>
      </c>
      <c r="K172" s="363">
        <f>SUM('POSEBNI DIO 24-52'!O464:O464,'POSEBNI DIO 24-52'!O467,)</f>
        <v>23273.34</v>
      </c>
      <c r="L172" s="363">
        <f>SUM('POSEBNI DIO 24-52'!P464:P464,'POSEBNI DIO 24-52'!P467,)</f>
        <v>23273.34</v>
      </c>
    </row>
    <row r="173" spans="1:12" ht="42.75" customHeight="1">
      <c r="A173" s="275">
        <v>821210</v>
      </c>
      <c r="B173" s="1103" t="s">
        <v>1315</v>
      </c>
      <c r="C173" s="363">
        <f>SUM('POSEBNI DIO 24-52'!G465)</f>
        <v>3000000</v>
      </c>
      <c r="D173" s="363">
        <f>SUM('POSEBNI DIO 24-52'!H465)</f>
        <v>0</v>
      </c>
      <c r="E173" s="363">
        <f>SUM('POSEBNI DIO 24-52'!I465)</f>
        <v>0</v>
      </c>
      <c r="F173" s="363">
        <f>SUM('POSEBNI DIO 24-52'!J465)</f>
        <v>3000000</v>
      </c>
      <c r="G173" s="363">
        <f>SUM('POSEBNI DIO 24-52'!K465)</f>
        <v>0</v>
      </c>
      <c r="H173" s="363">
        <f>SUM('POSEBNI DIO 24-52'!L465)</f>
        <v>0</v>
      </c>
      <c r="I173" s="363">
        <f>SUM('POSEBNI DIO 24-52'!M465)</f>
        <v>0</v>
      </c>
      <c r="J173" s="363">
        <f>SUM('POSEBNI DIO 24-52'!N465)</f>
        <v>0</v>
      </c>
      <c r="K173" s="363">
        <f>SUM('POSEBNI DIO 24-52'!O465)</f>
        <v>3000000</v>
      </c>
      <c r="L173" s="363">
        <f>SUM('POSEBNI DIO 24-52'!P465)</f>
        <v>3000000</v>
      </c>
    </row>
    <row r="174" spans="1:12" ht="30.75" customHeight="1">
      <c r="A174" s="275">
        <v>821210</v>
      </c>
      <c r="B174" s="362" t="s">
        <v>355</v>
      </c>
      <c r="C174" s="363">
        <f>SUM('POSEBNI DIO 24-52'!G466,)</f>
        <v>143817.56</v>
      </c>
      <c r="D174" s="363">
        <f>SUM('POSEBNI DIO 24-52'!H466,)</f>
        <v>0</v>
      </c>
      <c r="E174" s="363">
        <f>SUM('POSEBNI DIO 24-52'!I466,)</f>
        <v>0</v>
      </c>
      <c r="F174" s="363">
        <f>SUM('POSEBNI DIO 24-52'!J466,)</f>
        <v>143817.56</v>
      </c>
      <c r="G174" s="363">
        <f>SUM('POSEBNI DIO 24-52'!K466,)</f>
        <v>0</v>
      </c>
      <c r="H174" s="363">
        <f>SUM('POSEBNI DIO 24-52'!L466,)</f>
        <v>0</v>
      </c>
      <c r="I174" s="363">
        <f>SUM('POSEBNI DIO 24-52'!M466,)</f>
        <v>0</v>
      </c>
      <c r="J174" s="363">
        <f>SUM('POSEBNI DIO 24-52'!N466,)</f>
        <v>0</v>
      </c>
      <c r="K174" s="363">
        <f>SUM('POSEBNI DIO 24-52'!O466,)</f>
        <v>143817.56</v>
      </c>
      <c r="L174" s="363">
        <f>SUM('POSEBNI DIO 24-52'!P466,)</f>
        <v>143817.56</v>
      </c>
    </row>
    <row r="175" spans="1:12" ht="37.5" customHeight="1">
      <c r="A175" s="275">
        <v>821210</v>
      </c>
      <c r="B175" s="362" t="s">
        <v>784</v>
      </c>
      <c r="C175" s="363">
        <f>SUM('POSEBNI DIO 24-52'!G373,)</f>
        <v>181181.43</v>
      </c>
      <c r="D175" s="363">
        <f>SUM('POSEBNI DIO 24-52'!H373,)</f>
        <v>0</v>
      </c>
      <c r="E175" s="363">
        <f>SUM('POSEBNI DIO 24-52'!I373,)</f>
        <v>113000</v>
      </c>
      <c r="F175" s="363">
        <f>SUM('POSEBNI DIO 24-52'!J373,)</f>
        <v>68181.43</v>
      </c>
      <c r="G175" s="363">
        <f>SUM('POSEBNI DIO 24-52'!K373,)</f>
        <v>71463.17</v>
      </c>
      <c r="H175" s="363">
        <f>SUM('POSEBNI DIO 24-52'!L373,)</f>
        <v>0</v>
      </c>
      <c r="I175" s="363">
        <f>SUM('POSEBNI DIO 24-52'!M373,)</f>
        <v>0</v>
      </c>
      <c r="J175" s="363">
        <f>SUM('POSEBNI DIO 24-52'!N373,)</f>
        <v>71463.17</v>
      </c>
      <c r="K175" s="363">
        <f>SUM('POSEBNI DIO 24-52'!O373,)</f>
        <v>252644.59999999998</v>
      </c>
      <c r="L175" s="363">
        <f>SUM('POSEBNI DIO 24-52'!P373,)</f>
        <v>139644.59999999998</v>
      </c>
    </row>
    <row r="176" spans="1:12" ht="37.5" customHeight="1">
      <c r="A176" s="275">
        <v>821210</v>
      </c>
      <c r="B176" s="852" t="s">
        <v>1108</v>
      </c>
      <c r="C176" s="363">
        <f>SUM('POSEBNI DIO 24-52'!G468)</f>
        <v>500000</v>
      </c>
      <c r="D176" s="363">
        <f>SUM('POSEBNI DIO 24-52'!H468)</f>
        <v>0</v>
      </c>
      <c r="E176" s="363">
        <f>SUM('POSEBNI DIO 24-52'!I468)</f>
        <v>0</v>
      </c>
      <c r="F176" s="363">
        <f>SUM('POSEBNI DIO 24-52'!J468)</f>
        <v>500000</v>
      </c>
      <c r="G176" s="363">
        <f>SUM('POSEBNI DIO 24-52'!K468)</f>
        <v>0</v>
      </c>
      <c r="H176" s="363">
        <f>SUM('POSEBNI DIO 24-52'!L468)</f>
        <v>0</v>
      </c>
      <c r="I176" s="363">
        <f>SUM('POSEBNI DIO 24-52'!M468)</f>
        <v>0</v>
      </c>
      <c r="J176" s="363">
        <f>SUM('POSEBNI DIO 24-52'!N468)</f>
        <v>0</v>
      </c>
      <c r="K176" s="363">
        <f>SUM('POSEBNI DIO 24-52'!O468)</f>
        <v>500000</v>
      </c>
      <c r="L176" s="363">
        <f>SUM('POSEBNI DIO 24-52'!P468)</f>
        <v>500000</v>
      </c>
    </row>
    <row r="177" spans="1:12" ht="37.5" customHeight="1">
      <c r="A177" s="275">
        <v>821220</v>
      </c>
      <c r="B177" s="362" t="s">
        <v>354</v>
      </c>
      <c r="C177" s="363">
        <f>SUM('POSEBNI DIO 24-52'!G469,'POSEBNI DIO 24-52'!G432,)</f>
        <v>258000</v>
      </c>
      <c r="D177" s="363">
        <f>SUM('POSEBNI DIO 24-52'!H469,'POSEBNI DIO 24-52'!H432,)</f>
        <v>0</v>
      </c>
      <c r="E177" s="363">
        <f>SUM('POSEBNI DIO 24-52'!I469,'POSEBNI DIO 24-52'!I432,)</f>
        <v>0</v>
      </c>
      <c r="F177" s="363">
        <f>SUM('POSEBNI DIO 24-52'!J469,'POSEBNI DIO 24-52'!J432,)</f>
        <v>258000</v>
      </c>
      <c r="G177" s="363">
        <f>SUM('POSEBNI DIO 24-52'!K469,'POSEBNI DIO 24-52'!K432,)</f>
        <v>40000</v>
      </c>
      <c r="H177" s="363">
        <f>SUM('POSEBNI DIO 24-52'!L469,'POSEBNI DIO 24-52'!L432,)</f>
        <v>0</v>
      </c>
      <c r="I177" s="363">
        <f>SUM('POSEBNI DIO 24-52'!M469,'POSEBNI DIO 24-52'!M432,)</f>
        <v>0</v>
      </c>
      <c r="J177" s="363">
        <f>SUM('POSEBNI DIO 24-52'!N469,'POSEBNI DIO 24-52'!N432,)</f>
        <v>40000</v>
      </c>
      <c r="K177" s="363">
        <f>SUM('POSEBNI DIO 24-52'!O469,'POSEBNI DIO 24-52'!O432,)</f>
        <v>298000</v>
      </c>
      <c r="L177" s="363">
        <f>SUM('POSEBNI DIO 24-52'!P469,'POSEBNI DIO 24-52'!P432,)</f>
        <v>298000</v>
      </c>
    </row>
    <row r="178" spans="3:12" ht="12.75" hidden="1">
      <c r="C178" s="364"/>
      <c r="D178" s="364"/>
      <c r="E178" s="364"/>
      <c r="F178" s="364"/>
      <c r="G178" s="364"/>
      <c r="H178" s="364"/>
      <c r="I178" s="364"/>
      <c r="J178" s="364"/>
      <c r="K178" s="364"/>
      <c r="L178" s="364"/>
    </row>
    <row r="179" spans="1:12" ht="27">
      <c r="A179" s="275">
        <v>821220</v>
      </c>
      <c r="B179" s="299" t="s">
        <v>70</v>
      </c>
      <c r="C179" s="365">
        <f>SUM('POSEBNI DIO 24-52'!G470:G470,)</f>
        <v>920000</v>
      </c>
      <c r="D179" s="365">
        <f>SUM('POSEBNI DIO 24-52'!H470:H470,)</f>
        <v>0</v>
      </c>
      <c r="E179" s="365">
        <f>SUM('POSEBNI DIO 24-52'!I470:I470,)</f>
        <v>0</v>
      </c>
      <c r="F179" s="365">
        <f>SUM('POSEBNI DIO 24-52'!J470:J470,)</f>
        <v>920000</v>
      </c>
      <c r="G179" s="365">
        <f>SUM('POSEBNI DIO 24-52'!K470:K470,)</f>
        <v>0</v>
      </c>
      <c r="H179" s="365">
        <f>SUM('POSEBNI DIO 24-52'!L470:L470,)</f>
        <v>0</v>
      </c>
      <c r="I179" s="365">
        <f>SUM('POSEBNI DIO 24-52'!M470:M470,)</f>
        <v>0</v>
      </c>
      <c r="J179" s="365">
        <f>SUM('POSEBNI DIO 24-52'!N470:N470,)</f>
        <v>0</v>
      </c>
      <c r="K179" s="365">
        <f>SUM('POSEBNI DIO 24-52'!O470:O470,)</f>
        <v>920000</v>
      </c>
      <c r="L179" s="365">
        <f>SUM('POSEBNI DIO 24-52'!P470:P470,)</f>
        <v>920000</v>
      </c>
    </row>
    <row r="180" spans="1:12" ht="37.5" customHeight="1">
      <c r="A180" s="275">
        <v>821220</v>
      </c>
      <c r="B180" s="362" t="s">
        <v>71</v>
      </c>
      <c r="C180" s="363">
        <f>SUM('POSEBNI DIO 24-52'!G471:G471,'POSEBNI DIO 24-52'!G473,'POSEBNI DIO 24-52'!G534,'POSEBNI DIO 24-52'!G538,'POSEBNI DIO 24-52'!G472,'POSEBNI DIO 24-52'!G433,)</f>
        <v>7124330.970000001</v>
      </c>
      <c r="D180" s="363">
        <f>SUM('POSEBNI DIO 24-52'!H471:H471,'POSEBNI DIO 24-52'!H473,'POSEBNI DIO 24-52'!H534,'POSEBNI DIO 24-52'!H538,'POSEBNI DIO 24-52'!H472,'POSEBNI DIO 24-52'!H433,)</f>
        <v>670000</v>
      </c>
      <c r="E180" s="363">
        <f>SUM('POSEBNI DIO 24-52'!I471:I471,'POSEBNI DIO 24-52'!I473,'POSEBNI DIO 24-52'!I534,'POSEBNI DIO 24-52'!I538,'POSEBNI DIO 24-52'!I472,'POSEBNI DIO 24-52'!I433,)</f>
        <v>770000</v>
      </c>
      <c r="F180" s="363">
        <f>SUM('POSEBNI DIO 24-52'!J471:J471,'POSEBNI DIO 24-52'!J473,'POSEBNI DIO 24-52'!J534,'POSEBNI DIO 24-52'!J538,'POSEBNI DIO 24-52'!J472,'POSEBNI DIO 24-52'!J433,)</f>
        <v>7024330.970000001</v>
      </c>
      <c r="G180" s="363">
        <f>SUM('POSEBNI DIO 24-52'!K471:K471,'POSEBNI DIO 24-52'!K473,'POSEBNI DIO 24-52'!K534,'POSEBNI DIO 24-52'!K538,'POSEBNI DIO 24-52'!K472,'POSEBNI DIO 24-52'!K433,)</f>
        <v>625972.72</v>
      </c>
      <c r="H180" s="363">
        <f>SUM('POSEBNI DIO 24-52'!L471:L471,'POSEBNI DIO 24-52'!L473,'POSEBNI DIO 24-52'!L534,'POSEBNI DIO 24-52'!L538,'POSEBNI DIO 24-52'!L472,'POSEBNI DIO 24-52'!L433,)</f>
        <v>0</v>
      </c>
      <c r="I180" s="363">
        <f>SUM('POSEBNI DIO 24-52'!M471:M471,'POSEBNI DIO 24-52'!M473,'POSEBNI DIO 24-52'!M534,'POSEBNI DIO 24-52'!M538,'POSEBNI DIO 24-52'!M472,'POSEBNI DIO 24-52'!M433,)</f>
        <v>0</v>
      </c>
      <c r="J180" s="363">
        <f>SUM('POSEBNI DIO 24-52'!N471:N471,'POSEBNI DIO 24-52'!N473,'POSEBNI DIO 24-52'!N534,'POSEBNI DIO 24-52'!N538,'POSEBNI DIO 24-52'!N472,'POSEBNI DIO 24-52'!N433,)</f>
        <v>625972.72</v>
      </c>
      <c r="K180" s="363">
        <f>SUM('POSEBNI DIO 24-52'!O471:O471,'POSEBNI DIO 24-52'!O473,'POSEBNI DIO 24-52'!O534,'POSEBNI DIO 24-52'!O538,'POSEBNI DIO 24-52'!O472,'POSEBNI DIO 24-52'!O433,)</f>
        <v>7750303.69</v>
      </c>
      <c r="L180" s="363">
        <f>SUM('POSEBNI DIO 24-52'!P471:P471,'POSEBNI DIO 24-52'!P473,'POSEBNI DIO 24-52'!P534,'POSEBNI DIO 24-52'!P538,'POSEBNI DIO 24-52'!P472,'POSEBNI DIO 24-52'!P433,)</f>
        <v>7650303.69</v>
      </c>
    </row>
    <row r="181" spans="1:12" ht="91.5" customHeight="1">
      <c r="A181" s="275">
        <v>821220</v>
      </c>
      <c r="B181" s="324" t="s">
        <v>63</v>
      </c>
      <c r="C181" s="363">
        <f>SUM('POSEBNI DIO 24-52'!G475,'POSEBNI DIO 24-52'!G536,'POSEBNI DIO 24-52'!G535,'POSEBNI DIO 24-52'!G474,'POSEBNI DIO 24-52'!G434,)</f>
        <v>2317615.47</v>
      </c>
      <c r="D181" s="363">
        <f>SUM('POSEBNI DIO 24-52'!H475,'POSEBNI DIO 24-52'!H536,'POSEBNI DIO 24-52'!H535,'POSEBNI DIO 24-52'!H474,'POSEBNI DIO 24-52'!H434,)</f>
        <v>0</v>
      </c>
      <c r="E181" s="363">
        <f>SUM('POSEBNI DIO 24-52'!I475,'POSEBNI DIO 24-52'!I536,'POSEBNI DIO 24-52'!I535,'POSEBNI DIO 24-52'!I474,'POSEBNI DIO 24-52'!I434,)</f>
        <v>0</v>
      </c>
      <c r="F181" s="363">
        <f>SUM('POSEBNI DIO 24-52'!J475,'POSEBNI DIO 24-52'!J536,'POSEBNI DIO 24-52'!J535,'POSEBNI DIO 24-52'!J474,'POSEBNI DIO 24-52'!J434,)</f>
        <v>2317615.47</v>
      </c>
      <c r="G181" s="363">
        <f>SUM('POSEBNI DIO 24-52'!K475,'POSEBNI DIO 24-52'!K536,'POSEBNI DIO 24-52'!K535,'POSEBNI DIO 24-52'!K474,'POSEBNI DIO 24-52'!K434,)</f>
        <v>1691865.01</v>
      </c>
      <c r="H181" s="363">
        <f>SUM('POSEBNI DIO 24-52'!L475,'POSEBNI DIO 24-52'!L536,'POSEBNI DIO 24-52'!L535,'POSEBNI DIO 24-52'!L474,'POSEBNI DIO 24-52'!L434,)</f>
        <v>0</v>
      </c>
      <c r="I181" s="363">
        <f>SUM('POSEBNI DIO 24-52'!M475,'POSEBNI DIO 24-52'!M536,'POSEBNI DIO 24-52'!M535,'POSEBNI DIO 24-52'!M474,'POSEBNI DIO 24-52'!M434,)</f>
        <v>1000000</v>
      </c>
      <c r="J181" s="363">
        <f>SUM('POSEBNI DIO 24-52'!N475,'POSEBNI DIO 24-52'!N536,'POSEBNI DIO 24-52'!N535,'POSEBNI DIO 24-52'!N474,'POSEBNI DIO 24-52'!N434,)</f>
        <v>691865.01</v>
      </c>
      <c r="K181" s="363">
        <f>SUM('POSEBNI DIO 24-52'!O475,'POSEBNI DIO 24-52'!O536,'POSEBNI DIO 24-52'!O535,'POSEBNI DIO 24-52'!O474,'POSEBNI DIO 24-52'!O434,)</f>
        <v>4009480.48</v>
      </c>
      <c r="L181" s="363">
        <f>SUM('POSEBNI DIO 24-52'!P475,'POSEBNI DIO 24-52'!P536,'POSEBNI DIO 24-52'!P535,'POSEBNI DIO 24-52'!P474,'POSEBNI DIO 24-52'!P434,)</f>
        <v>3009480.48</v>
      </c>
    </row>
    <row r="182" spans="1:12" ht="56.25" customHeight="1">
      <c r="A182" s="275">
        <v>821220</v>
      </c>
      <c r="B182" s="362" t="s">
        <v>271</v>
      </c>
      <c r="C182" s="363">
        <f>SUM('POSEBNI DIO 24-52'!G476,'POSEBNI DIO 24-52'!G537)</f>
        <v>2597090.65</v>
      </c>
      <c r="D182" s="363">
        <f>SUM('POSEBNI DIO 24-52'!H476,'POSEBNI DIO 24-52'!H537)</f>
        <v>0</v>
      </c>
      <c r="E182" s="363">
        <f>SUM('POSEBNI DIO 24-52'!I476,'POSEBNI DIO 24-52'!I537)</f>
        <v>700000</v>
      </c>
      <c r="F182" s="363">
        <f>SUM('POSEBNI DIO 24-52'!J476,'POSEBNI DIO 24-52'!J537)</f>
        <v>1897090.65</v>
      </c>
      <c r="G182" s="363">
        <f>SUM('POSEBNI DIO 24-52'!K476,'POSEBNI DIO 24-52'!K537)</f>
        <v>1693227.93</v>
      </c>
      <c r="H182" s="363">
        <f>SUM('POSEBNI DIO 24-52'!L476,'POSEBNI DIO 24-52'!L537)</f>
        <v>11059.2</v>
      </c>
      <c r="I182" s="363">
        <f>SUM('POSEBNI DIO 24-52'!M476,'POSEBNI DIO 24-52'!M537)</f>
        <v>0</v>
      </c>
      <c r="J182" s="363">
        <f>SUM('POSEBNI DIO 24-52'!N476,'POSEBNI DIO 24-52'!N537)</f>
        <v>1704287.13</v>
      </c>
      <c r="K182" s="363">
        <f>SUM('POSEBNI DIO 24-52'!O476,'POSEBNI DIO 24-52'!O537)</f>
        <v>4290318.58</v>
      </c>
      <c r="L182" s="363">
        <f>SUM('POSEBNI DIO 24-52'!P476,'POSEBNI DIO 24-52'!P537)</f>
        <v>3601377.78</v>
      </c>
    </row>
    <row r="183" spans="1:12" ht="42.75" customHeight="1">
      <c r="A183" s="305">
        <v>821300</v>
      </c>
      <c r="B183" s="366" t="s">
        <v>224</v>
      </c>
      <c r="C183" s="309">
        <f aca="true" t="shared" si="46" ref="C183:L183">SUM(C184:C188)</f>
        <v>1593350.75</v>
      </c>
      <c r="D183" s="309">
        <f t="shared" si="46"/>
        <v>4000</v>
      </c>
      <c r="E183" s="309">
        <f t="shared" si="46"/>
        <v>177400</v>
      </c>
      <c r="F183" s="309">
        <f t="shared" si="46"/>
        <v>1419950.75</v>
      </c>
      <c r="G183" s="309">
        <f t="shared" si="46"/>
        <v>45615.7</v>
      </c>
      <c r="H183" s="309">
        <f t="shared" si="46"/>
        <v>0</v>
      </c>
      <c r="I183" s="309">
        <f t="shared" si="46"/>
        <v>0</v>
      </c>
      <c r="J183" s="309">
        <f t="shared" si="46"/>
        <v>45615.7</v>
      </c>
      <c r="K183" s="309">
        <f t="shared" si="46"/>
        <v>1638966.4500000002</v>
      </c>
      <c r="L183" s="309">
        <f t="shared" si="46"/>
        <v>1465566.4500000002</v>
      </c>
    </row>
    <row r="184" spans="1:12" ht="30" customHeight="1">
      <c r="A184" s="292">
        <v>821300</v>
      </c>
      <c r="B184" s="320" t="s">
        <v>437</v>
      </c>
      <c r="C184" s="321">
        <f>SUM('POSEBNI DIO 24-52'!G53,'POSEBNI DIO 24-52'!G148,'POSEBNI DIO 24-52'!G222,'POSEBNI DIO 24-52'!G266,'POSEBNI DIO 24-52'!G294,'POSEBNI DIO 24-52'!G321,'POSEBNI DIO 24-52'!G398,'POSEBNI DIO 24-52'!G563,'POSEBNI DIO 24-52'!G596,'POSEBNI DIO 24-52'!G637,'POSEBNI DIO 24-52'!G662,'POSEBNI DIO 24-52'!G694,'POSEBNI DIO 24-52'!G756,'POSEBNI DIO 24-52'!G832,'POSEBNI DIO 24-52'!G854,'POSEBNI DIO 24-52'!G99,'POSEBNI DIO 24-52'!G877,'POSEBNI DIO 24-52'!G897,'POSEBNI DIO 24-52'!G352,'POSEBNI DIO 24-52'!G509,'POSEBNI DIO 24-52'!G956,)</f>
        <v>295037.95</v>
      </c>
      <c r="D184" s="321">
        <f>SUM('POSEBNI DIO 24-52'!H53,'POSEBNI DIO 24-52'!H148,'POSEBNI DIO 24-52'!H222,'POSEBNI DIO 24-52'!H266,'POSEBNI DIO 24-52'!H294,'POSEBNI DIO 24-52'!H321,'POSEBNI DIO 24-52'!H398,'POSEBNI DIO 24-52'!H563,'POSEBNI DIO 24-52'!H596,'POSEBNI DIO 24-52'!H637,'POSEBNI DIO 24-52'!H662,'POSEBNI DIO 24-52'!H694,'POSEBNI DIO 24-52'!H756,'POSEBNI DIO 24-52'!H832,'POSEBNI DIO 24-52'!H854,'POSEBNI DIO 24-52'!H99,'POSEBNI DIO 24-52'!H877,'POSEBNI DIO 24-52'!H897,'POSEBNI DIO 24-52'!H352,'POSEBNI DIO 24-52'!H509,'POSEBNI DIO 24-52'!H956,)</f>
        <v>0</v>
      </c>
      <c r="E184" s="321">
        <f>SUM('POSEBNI DIO 24-52'!I53,'POSEBNI DIO 24-52'!I148,'POSEBNI DIO 24-52'!I222,'POSEBNI DIO 24-52'!I266,'POSEBNI DIO 24-52'!I294,'POSEBNI DIO 24-52'!I321,'POSEBNI DIO 24-52'!I398,'POSEBNI DIO 24-52'!I563,'POSEBNI DIO 24-52'!I596,'POSEBNI DIO 24-52'!I637,'POSEBNI DIO 24-52'!I662,'POSEBNI DIO 24-52'!I694,'POSEBNI DIO 24-52'!I756,'POSEBNI DIO 24-52'!I832,'POSEBNI DIO 24-52'!I854,'POSEBNI DIO 24-52'!I99,'POSEBNI DIO 24-52'!I877,'POSEBNI DIO 24-52'!I897,'POSEBNI DIO 24-52'!I352,'POSEBNI DIO 24-52'!I509,'POSEBNI DIO 24-52'!I956,)</f>
        <v>177400</v>
      </c>
      <c r="F184" s="321">
        <f>SUM('POSEBNI DIO 24-52'!J53,'POSEBNI DIO 24-52'!J148,'POSEBNI DIO 24-52'!J222,'POSEBNI DIO 24-52'!J266,'POSEBNI DIO 24-52'!J294,'POSEBNI DIO 24-52'!J321,'POSEBNI DIO 24-52'!J398,'POSEBNI DIO 24-52'!J563,'POSEBNI DIO 24-52'!J596,'POSEBNI DIO 24-52'!J637,'POSEBNI DIO 24-52'!J662,'POSEBNI DIO 24-52'!J694,'POSEBNI DIO 24-52'!J756,'POSEBNI DIO 24-52'!J832,'POSEBNI DIO 24-52'!J854,'POSEBNI DIO 24-52'!J99,'POSEBNI DIO 24-52'!J877,'POSEBNI DIO 24-52'!J897,'POSEBNI DIO 24-52'!J352,'POSEBNI DIO 24-52'!J509,'POSEBNI DIO 24-52'!J956,)</f>
        <v>117637.95</v>
      </c>
      <c r="G184" s="321">
        <f>SUM('POSEBNI DIO 24-52'!K53,'POSEBNI DIO 24-52'!K148,'POSEBNI DIO 24-52'!K222,'POSEBNI DIO 24-52'!K266,'POSEBNI DIO 24-52'!K294,'POSEBNI DIO 24-52'!K321,'POSEBNI DIO 24-52'!K398,'POSEBNI DIO 24-52'!K563,'POSEBNI DIO 24-52'!K596,'POSEBNI DIO 24-52'!K637,'POSEBNI DIO 24-52'!K662,'POSEBNI DIO 24-52'!K694,'POSEBNI DIO 24-52'!K756,'POSEBNI DIO 24-52'!K832,'POSEBNI DIO 24-52'!K854,'POSEBNI DIO 24-52'!K99,'POSEBNI DIO 24-52'!K877,'POSEBNI DIO 24-52'!K897,'POSEBNI DIO 24-52'!K352,'POSEBNI DIO 24-52'!K509,'POSEBNI DIO 24-52'!K956,)</f>
        <v>45615.7</v>
      </c>
      <c r="H184" s="321">
        <f>SUM('POSEBNI DIO 24-52'!L53,'POSEBNI DIO 24-52'!L148,'POSEBNI DIO 24-52'!L222,'POSEBNI DIO 24-52'!L266,'POSEBNI DIO 24-52'!L294,'POSEBNI DIO 24-52'!L321,'POSEBNI DIO 24-52'!L398,'POSEBNI DIO 24-52'!L563,'POSEBNI DIO 24-52'!L596,'POSEBNI DIO 24-52'!L637,'POSEBNI DIO 24-52'!L662,'POSEBNI DIO 24-52'!L694,'POSEBNI DIO 24-52'!L756,'POSEBNI DIO 24-52'!L832,'POSEBNI DIO 24-52'!L854,'POSEBNI DIO 24-52'!L99,'POSEBNI DIO 24-52'!L877,'POSEBNI DIO 24-52'!L897,'POSEBNI DIO 24-52'!L352,'POSEBNI DIO 24-52'!L509,'POSEBNI DIO 24-52'!L956,)</f>
        <v>0</v>
      </c>
      <c r="I184" s="321">
        <f>SUM('POSEBNI DIO 24-52'!M53,'POSEBNI DIO 24-52'!M148,'POSEBNI DIO 24-52'!M222,'POSEBNI DIO 24-52'!M266,'POSEBNI DIO 24-52'!M294,'POSEBNI DIO 24-52'!M321,'POSEBNI DIO 24-52'!M398,'POSEBNI DIO 24-52'!M563,'POSEBNI DIO 24-52'!M596,'POSEBNI DIO 24-52'!M637,'POSEBNI DIO 24-52'!M662,'POSEBNI DIO 24-52'!M694,'POSEBNI DIO 24-52'!M756,'POSEBNI DIO 24-52'!M832,'POSEBNI DIO 24-52'!M854,'POSEBNI DIO 24-52'!M99,'POSEBNI DIO 24-52'!M877,'POSEBNI DIO 24-52'!M897,'POSEBNI DIO 24-52'!M352,'POSEBNI DIO 24-52'!M509,'POSEBNI DIO 24-52'!M956,)</f>
        <v>0</v>
      </c>
      <c r="J184" s="321">
        <f>SUM('POSEBNI DIO 24-52'!N53,'POSEBNI DIO 24-52'!N148,'POSEBNI DIO 24-52'!N222,'POSEBNI DIO 24-52'!N266,'POSEBNI DIO 24-52'!N294,'POSEBNI DIO 24-52'!N321,'POSEBNI DIO 24-52'!N398,'POSEBNI DIO 24-52'!N563,'POSEBNI DIO 24-52'!N596,'POSEBNI DIO 24-52'!N637,'POSEBNI DIO 24-52'!N662,'POSEBNI DIO 24-52'!N694,'POSEBNI DIO 24-52'!N756,'POSEBNI DIO 24-52'!N832,'POSEBNI DIO 24-52'!N854,'POSEBNI DIO 24-52'!N99,'POSEBNI DIO 24-52'!N877,'POSEBNI DIO 24-52'!N897,'POSEBNI DIO 24-52'!N352,'POSEBNI DIO 24-52'!N509,'POSEBNI DIO 24-52'!N956,)</f>
        <v>45615.7</v>
      </c>
      <c r="K184" s="321">
        <f>SUM('POSEBNI DIO 24-52'!O53,'POSEBNI DIO 24-52'!O148,'POSEBNI DIO 24-52'!O222,'POSEBNI DIO 24-52'!O266,'POSEBNI DIO 24-52'!O294,'POSEBNI DIO 24-52'!O321,'POSEBNI DIO 24-52'!O398,'POSEBNI DIO 24-52'!O563,'POSEBNI DIO 24-52'!O596,'POSEBNI DIO 24-52'!O637,'POSEBNI DIO 24-52'!O662,'POSEBNI DIO 24-52'!O694,'POSEBNI DIO 24-52'!O756,'POSEBNI DIO 24-52'!O832,'POSEBNI DIO 24-52'!O854,'POSEBNI DIO 24-52'!O99,'POSEBNI DIO 24-52'!O877,'POSEBNI DIO 24-52'!O897,'POSEBNI DIO 24-52'!O352,'POSEBNI DIO 24-52'!O509,'POSEBNI DIO 24-52'!O956,)</f>
        <v>340653.65</v>
      </c>
      <c r="L184" s="321">
        <f>SUM('POSEBNI DIO 24-52'!P53,'POSEBNI DIO 24-52'!P148,'POSEBNI DIO 24-52'!P222,'POSEBNI DIO 24-52'!P266,'POSEBNI DIO 24-52'!P294,'POSEBNI DIO 24-52'!P321,'POSEBNI DIO 24-52'!P398,'POSEBNI DIO 24-52'!P563,'POSEBNI DIO 24-52'!P596,'POSEBNI DIO 24-52'!P637,'POSEBNI DIO 24-52'!P662,'POSEBNI DIO 24-52'!P694,'POSEBNI DIO 24-52'!P756,'POSEBNI DIO 24-52'!P832,'POSEBNI DIO 24-52'!P854,'POSEBNI DIO 24-52'!P99,'POSEBNI DIO 24-52'!P877,'POSEBNI DIO 24-52'!P897,'POSEBNI DIO 24-52'!P352,'POSEBNI DIO 24-52'!P509,'POSEBNI DIO 24-52'!P956,)</f>
        <v>163253.65000000002</v>
      </c>
    </row>
    <row r="185" spans="1:12" ht="30" customHeight="1">
      <c r="A185" s="292">
        <v>821300</v>
      </c>
      <c r="B185" s="817" t="s">
        <v>899</v>
      </c>
      <c r="C185" s="321">
        <f>SUM('POSEBNI DIO 24-52'!G477)</f>
        <v>42650</v>
      </c>
      <c r="D185" s="321">
        <f>SUM('POSEBNI DIO 24-52'!H477)</f>
        <v>0</v>
      </c>
      <c r="E185" s="321">
        <f>SUM('POSEBNI DIO 24-52'!I477)</f>
        <v>0</v>
      </c>
      <c r="F185" s="321">
        <f>SUM('POSEBNI DIO 24-52'!J477)</f>
        <v>42650</v>
      </c>
      <c r="G185" s="321">
        <f>SUM('POSEBNI DIO 24-52'!K477)</f>
        <v>0</v>
      </c>
      <c r="H185" s="321">
        <f>SUM('POSEBNI DIO 24-52'!L477)</f>
        <v>0</v>
      </c>
      <c r="I185" s="321">
        <f>SUM('POSEBNI DIO 24-52'!M477)</f>
        <v>0</v>
      </c>
      <c r="J185" s="321">
        <f>SUM('POSEBNI DIO 24-52'!N477)</f>
        <v>0</v>
      </c>
      <c r="K185" s="321">
        <f>SUM('POSEBNI DIO 24-52'!O477)</f>
        <v>42650</v>
      </c>
      <c r="L185" s="321">
        <f>SUM('POSEBNI DIO 24-52'!P477)</f>
        <v>42650</v>
      </c>
    </row>
    <row r="186" spans="1:12" ht="30" customHeight="1">
      <c r="A186" s="292">
        <v>821300</v>
      </c>
      <c r="B186" s="817" t="s">
        <v>890</v>
      </c>
      <c r="C186" s="321">
        <f>SUM('POSEBNI DIO 24-52'!G539)</f>
        <v>20000</v>
      </c>
      <c r="D186" s="321">
        <f>SUM('POSEBNI DIO 24-52'!H539)</f>
        <v>0</v>
      </c>
      <c r="E186" s="321">
        <f>SUM('POSEBNI DIO 24-52'!I539)</f>
        <v>0</v>
      </c>
      <c r="F186" s="321">
        <f>SUM('POSEBNI DIO 24-52'!J539)</f>
        <v>20000</v>
      </c>
      <c r="G186" s="321">
        <f>SUM('POSEBNI DIO 24-52'!K539)</f>
        <v>0</v>
      </c>
      <c r="H186" s="321">
        <f>SUM('POSEBNI DIO 24-52'!L539)</f>
        <v>0</v>
      </c>
      <c r="I186" s="321">
        <f>SUM('POSEBNI DIO 24-52'!M539)</f>
        <v>0</v>
      </c>
      <c r="J186" s="321">
        <f>SUM('POSEBNI DIO 24-52'!N539)</f>
        <v>0</v>
      </c>
      <c r="K186" s="321">
        <f>SUM('POSEBNI DIO 24-52'!O539)</f>
        <v>20000</v>
      </c>
      <c r="L186" s="321">
        <f>SUM('POSEBNI DIO 24-52'!P539)</f>
        <v>20000</v>
      </c>
    </row>
    <row r="187" spans="1:12" ht="30" customHeight="1">
      <c r="A187" s="292">
        <v>821300</v>
      </c>
      <c r="B187" s="817" t="s">
        <v>52</v>
      </c>
      <c r="C187" s="321">
        <f>SUM('POSEBNI DIO 24-52'!G791)</f>
        <v>1228147.3</v>
      </c>
      <c r="D187" s="321">
        <f>SUM('POSEBNI DIO 24-52'!H791)</f>
        <v>0</v>
      </c>
      <c r="E187" s="321">
        <f>SUM('POSEBNI DIO 24-52'!I791)</f>
        <v>0</v>
      </c>
      <c r="F187" s="321">
        <f>SUM('POSEBNI DIO 24-52'!J791)</f>
        <v>1228147.3</v>
      </c>
      <c r="G187" s="321">
        <f>SUM('POSEBNI DIO 24-52'!K791)</f>
        <v>0</v>
      </c>
      <c r="H187" s="321">
        <f>SUM('POSEBNI DIO 24-52'!L791)</f>
        <v>0</v>
      </c>
      <c r="I187" s="321">
        <f>SUM('POSEBNI DIO 24-52'!M791)</f>
        <v>0</v>
      </c>
      <c r="J187" s="321">
        <f>SUM('POSEBNI DIO 24-52'!N791)</f>
        <v>0</v>
      </c>
      <c r="K187" s="321">
        <f>SUM('POSEBNI DIO 24-52'!O791)</f>
        <v>1228147.3</v>
      </c>
      <c r="L187" s="321">
        <f>SUM('POSEBNI DIO 24-52'!P791)</f>
        <v>1228147.3</v>
      </c>
    </row>
    <row r="188" spans="1:12" ht="30" customHeight="1">
      <c r="A188" s="292">
        <v>821300</v>
      </c>
      <c r="B188" s="817" t="s">
        <v>1173</v>
      </c>
      <c r="C188" s="321">
        <f>SUM('POSEBNI DIO 24-52'!G812)</f>
        <v>7515.5</v>
      </c>
      <c r="D188" s="321">
        <f>SUM('POSEBNI DIO 24-52'!H812)</f>
        <v>4000</v>
      </c>
      <c r="E188" s="321">
        <f>SUM('POSEBNI DIO 24-52'!I812)</f>
        <v>0</v>
      </c>
      <c r="F188" s="321">
        <f>SUM('POSEBNI DIO 24-52'!J812)</f>
        <v>11515.5</v>
      </c>
      <c r="G188" s="321">
        <f>SUM('POSEBNI DIO 24-52'!K812)</f>
        <v>0</v>
      </c>
      <c r="H188" s="321">
        <f>SUM('POSEBNI DIO 24-52'!L812)</f>
        <v>0</v>
      </c>
      <c r="I188" s="321">
        <f>SUM('POSEBNI DIO 24-52'!M812)</f>
        <v>0</v>
      </c>
      <c r="J188" s="321">
        <f>SUM('POSEBNI DIO 24-52'!N812)</f>
        <v>0</v>
      </c>
      <c r="K188" s="321">
        <f>SUM('POSEBNI DIO 24-52'!O812)</f>
        <v>7515.5</v>
      </c>
      <c r="L188" s="321">
        <f>SUM('POSEBNI DIO 24-52'!P812)</f>
        <v>11515.5</v>
      </c>
    </row>
    <row r="189" spans="1:12" ht="30" customHeight="1">
      <c r="A189" s="1009">
        <v>821500</v>
      </c>
      <c r="B189" s="1010" t="s">
        <v>1011</v>
      </c>
      <c r="C189" s="1012">
        <f aca="true" t="shared" si="47" ref="C189:L189">SUM(C190)</f>
        <v>5000</v>
      </c>
      <c r="D189" s="1012">
        <f t="shared" si="47"/>
        <v>0</v>
      </c>
      <c r="E189" s="1012">
        <f t="shared" si="47"/>
        <v>5000</v>
      </c>
      <c r="F189" s="1012">
        <f t="shared" si="47"/>
        <v>0</v>
      </c>
      <c r="G189" s="1012">
        <f t="shared" si="47"/>
        <v>0</v>
      </c>
      <c r="H189" s="1012">
        <f t="shared" si="47"/>
        <v>0</v>
      </c>
      <c r="I189" s="1012">
        <f t="shared" si="47"/>
        <v>0</v>
      </c>
      <c r="J189" s="1012">
        <f t="shared" si="47"/>
        <v>0</v>
      </c>
      <c r="K189" s="1012">
        <f t="shared" si="47"/>
        <v>5000</v>
      </c>
      <c r="L189" s="1012">
        <f t="shared" si="47"/>
        <v>0</v>
      </c>
    </row>
    <row r="190" spans="1:12" ht="30" customHeight="1">
      <c r="A190" s="292">
        <v>821500</v>
      </c>
      <c r="B190" s="817" t="s">
        <v>1010</v>
      </c>
      <c r="C190" s="321">
        <f>SUM('POSEBNI DIO 24-52'!G597)</f>
        <v>5000</v>
      </c>
      <c r="D190" s="321">
        <f>SUM('POSEBNI DIO 24-52'!H597)</f>
        <v>0</v>
      </c>
      <c r="E190" s="321">
        <f>SUM('POSEBNI DIO 24-52'!I597)</f>
        <v>5000</v>
      </c>
      <c r="F190" s="321">
        <f>SUM('POSEBNI DIO 24-52'!J597)</f>
        <v>0</v>
      </c>
      <c r="G190" s="321">
        <f>SUM('POSEBNI DIO 24-52'!K597)</f>
        <v>0</v>
      </c>
      <c r="H190" s="321">
        <f>SUM('POSEBNI DIO 24-52'!L597)</f>
        <v>0</v>
      </c>
      <c r="I190" s="321">
        <f>SUM('POSEBNI DIO 24-52'!M597)</f>
        <v>0</v>
      </c>
      <c r="J190" s="321">
        <f>SUM('POSEBNI DIO 24-52'!N597)</f>
        <v>0</v>
      </c>
      <c r="K190" s="321">
        <f>SUM('POSEBNI DIO 24-52'!O597)</f>
        <v>5000</v>
      </c>
      <c r="L190" s="321">
        <f>SUM('POSEBNI DIO 24-52'!P597)</f>
        <v>0</v>
      </c>
    </row>
    <row r="191" spans="1:12" ht="42" customHeight="1">
      <c r="A191" s="1011">
        <v>821600</v>
      </c>
      <c r="B191" s="322" t="s">
        <v>225</v>
      </c>
      <c r="C191" s="309">
        <f aca="true" t="shared" si="48" ref="C191:L191">SUM(C192:C193)</f>
        <v>2346201.24</v>
      </c>
      <c r="D191" s="309">
        <f t="shared" si="48"/>
        <v>7000</v>
      </c>
      <c r="E191" s="309">
        <f t="shared" si="48"/>
        <v>694552.1</v>
      </c>
      <c r="F191" s="309">
        <f t="shared" si="48"/>
        <v>1658649.1400000001</v>
      </c>
      <c r="G191" s="309">
        <f t="shared" si="48"/>
        <v>184406</v>
      </c>
      <c r="H191" s="309">
        <f t="shared" si="48"/>
        <v>0</v>
      </c>
      <c r="I191" s="309">
        <f t="shared" si="48"/>
        <v>7850</v>
      </c>
      <c r="J191" s="309">
        <f t="shared" si="48"/>
        <v>176556</v>
      </c>
      <c r="K191" s="309">
        <f t="shared" si="48"/>
        <v>2530607.24</v>
      </c>
      <c r="L191" s="309">
        <f t="shared" si="48"/>
        <v>1835205.1400000001</v>
      </c>
    </row>
    <row r="192" spans="1:12" ht="172.5" customHeight="1">
      <c r="A192" s="254">
        <v>821600</v>
      </c>
      <c r="B192" s="830" t="s">
        <v>1209</v>
      </c>
      <c r="C192" s="256">
        <f>SUM('POSEBNI DIO 24-52'!G322,'POSEBNI DIO 24-52'!G663,'POSEBNI DIO 24-52'!G267,'POSEBNI DIO 24-52'!G295,'POSEBNI DIO 24-52'!G479,'POSEBNI DIO 24-52'!G540,'POSEBNI DIO 24-52'!G541,'POSEBNI DIO 24-52'!G239,'POSEBNI DIO 24-52'!G757,'POSEBNI DIO 24-52'!G510,'POSEBNI DIO 24-52'!G542,'POSEBNI DIO 24-52'!G478,'POSEBNI DIO 24-52'!G813,)</f>
        <v>1546201.24</v>
      </c>
      <c r="D192" s="256">
        <f>SUM('POSEBNI DIO 24-52'!H322,'POSEBNI DIO 24-52'!H663,'POSEBNI DIO 24-52'!H267,'POSEBNI DIO 24-52'!H295,'POSEBNI DIO 24-52'!H479,'POSEBNI DIO 24-52'!H540,'POSEBNI DIO 24-52'!H541,'POSEBNI DIO 24-52'!H239,'POSEBNI DIO 24-52'!H757,'POSEBNI DIO 24-52'!H510,'POSEBNI DIO 24-52'!H542,'POSEBNI DIO 24-52'!H478,'POSEBNI DIO 24-52'!H813,)</f>
        <v>7000</v>
      </c>
      <c r="E192" s="256">
        <f>SUM('POSEBNI DIO 24-52'!I322,'POSEBNI DIO 24-52'!I663,'POSEBNI DIO 24-52'!I267,'POSEBNI DIO 24-52'!I295,'POSEBNI DIO 24-52'!I479,'POSEBNI DIO 24-52'!I540,'POSEBNI DIO 24-52'!I541,'POSEBNI DIO 24-52'!I239,'POSEBNI DIO 24-52'!I757,'POSEBNI DIO 24-52'!I510,'POSEBNI DIO 24-52'!I542,'POSEBNI DIO 24-52'!I478,'POSEBNI DIO 24-52'!I813,)</f>
        <v>694552.1</v>
      </c>
      <c r="F192" s="256">
        <f>SUM('POSEBNI DIO 24-52'!J322,'POSEBNI DIO 24-52'!J663,'POSEBNI DIO 24-52'!J267,'POSEBNI DIO 24-52'!J295,'POSEBNI DIO 24-52'!J479,'POSEBNI DIO 24-52'!J540,'POSEBNI DIO 24-52'!J541,'POSEBNI DIO 24-52'!J239,'POSEBNI DIO 24-52'!J757,'POSEBNI DIO 24-52'!J510,'POSEBNI DIO 24-52'!J542,'POSEBNI DIO 24-52'!J478,'POSEBNI DIO 24-52'!J813,)</f>
        <v>858649.14</v>
      </c>
      <c r="G192" s="256">
        <f>SUM('POSEBNI DIO 24-52'!K322,'POSEBNI DIO 24-52'!K663,'POSEBNI DIO 24-52'!K267,'POSEBNI DIO 24-52'!K295,'POSEBNI DIO 24-52'!K479,'POSEBNI DIO 24-52'!K540,'POSEBNI DIO 24-52'!K541,'POSEBNI DIO 24-52'!K239,'POSEBNI DIO 24-52'!K757,'POSEBNI DIO 24-52'!K510,'POSEBNI DIO 24-52'!K542,'POSEBNI DIO 24-52'!K478,'POSEBNI DIO 24-52'!K813,)</f>
        <v>184406</v>
      </c>
      <c r="H192" s="256">
        <f>SUM('POSEBNI DIO 24-52'!L322,'POSEBNI DIO 24-52'!L663,'POSEBNI DIO 24-52'!L267,'POSEBNI DIO 24-52'!L295,'POSEBNI DIO 24-52'!L479,'POSEBNI DIO 24-52'!L540,'POSEBNI DIO 24-52'!L541,'POSEBNI DIO 24-52'!L239,'POSEBNI DIO 24-52'!L757,'POSEBNI DIO 24-52'!L510,'POSEBNI DIO 24-52'!L542,'POSEBNI DIO 24-52'!L478,'POSEBNI DIO 24-52'!L813,)</f>
        <v>0</v>
      </c>
      <c r="I192" s="256">
        <f>SUM('POSEBNI DIO 24-52'!M322,'POSEBNI DIO 24-52'!M663,'POSEBNI DIO 24-52'!M267,'POSEBNI DIO 24-52'!M295,'POSEBNI DIO 24-52'!M479,'POSEBNI DIO 24-52'!M540,'POSEBNI DIO 24-52'!M541,'POSEBNI DIO 24-52'!M239,'POSEBNI DIO 24-52'!M757,'POSEBNI DIO 24-52'!M510,'POSEBNI DIO 24-52'!M542,'POSEBNI DIO 24-52'!M478,'POSEBNI DIO 24-52'!M813,)</f>
        <v>7850</v>
      </c>
      <c r="J192" s="256">
        <f>SUM('POSEBNI DIO 24-52'!N322,'POSEBNI DIO 24-52'!N663,'POSEBNI DIO 24-52'!N267,'POSEBNI DIO 24-52'!N295,'POSEBNI DIO 24-52'!N479,'POSEBNI DIO 24-52'!N540,'POSEBNI DIO 24-52'!N541,'POSEBNI DIO 24-52'!N239,'POSEBNI DIO 24-52'!N757,'POSEBNI DIO 24-52'!N510,'POSEBNI DIO 24-52'!N542,'POSEBNI DIO 24-52'!N478,'POSEBNI DIO 24-52'!N813,)</f>
        <v>176556</v>
      </c>
      <c r="K192" s="256">
        <f>SUM('POSEBNI DIO 24-52'!O322,'POSEBNI DIO 24-52'!O663,'POSEBNI DIO 24-52'!O267,'POSEBNI DIO 24-52'!O295,'POSEBNI DIO 24-52'!O479,'POSEBNI DIO 24-52'!O540,'POSEBNI DIO 24-52'!O541,'POSEBNI DIO 24-52'!O239,'POSEBNI DIO 24-52'!O757,'POSEBNI DIO 24-52'!O510,'POSEBNI DIO 24-52'!O542,'POSEBNI DIO 24-52'!O478,'POSEBNI DIO 24-52'!O813,)</f>
        <v>1730607.24</v>
      </c>
      <c r="L192" s="256">
        <f>SUM('POSEBNI DIO 24-52'!P322,'POSEBNI DIO 24-52'!P663,'POSEBNI DIO 24-52'!P267,'POSEBNI DIO 24-52'!P295,'POSEBNI DIO 24-52'!P479,'POSEBNI DIO 24-52'!P540,'POSEBNI DIO 24-52'!P541,'POSEBNI DIO 24-52'!P239,'POSEBNI DIO 24-52'!P757,'POSEBNI DIO 24-52'!P510,'POSEBNI DIO 24-52'!P542,'POSEBNI DIO 24-52'!P478,'POSEBNI DIO 24-52'!P813,)</f>
        <v>1035205.14</v>
      </c>
    </row>
    <row r="193" spans="1:12" ht="30" customHeight="1">
      <c r="A193" s="300">
        <v>821600</v>
      </c>
      <c r="B193" s="367" t="s">
        <v>244</v>
      </c>
      <c r="C193" s="321">
        <f>SUM('POSEBNI DIO 24-52'!G480,)</f>
        <v>800000</v>
      </c>
      <c r="D193" s="321">
        <f>SUM('POSEBNI DIO 24-52'!H480,)</f>
        <v>0</v>
      </c>
      <c r="E193" s="321">
        <f>SUM('POSEBNI DIO 24-52'!I480,)</f>
        <v>0</v>
      </c>
      <c r="F193" s="321">
        <f>SUM('POSEBNI DIO 24-52'!J480,)</f>
        <v>800000</v>
      </c>
      <c r="G193" s="321">
        <f>SUM('POSEBNI DIO 24-52'!K480,)</f>
        <v>0</v>
      </c>
      <c r="H193" s="321">
        <f>SUM('POSEBNI DIO 24-52'!L480,)</f>
        <v>0</v>
      </c>
      <c r="I193" s="321">
        <f>SUM('POSEBNI DIO 24-52'!M480,)</f>
        <v>0</v>
      </c>
      <c r="J193" s="321">
        <f>SUM('POSEBNI DIO 24-52'!N480,)</f>
        <v>0</v>
      </c>
      <c r="K193" s="321">
        <f>SUM('POSEBNI DIO 24-52'!O480,)</f>
        <v>800000</v>
      </c>
      <c r="L193" s="321">
        <f>SUM('POSEBNI DIO 24-52'!P480,)</f>
        <v>800000</v>
      </c>
    </row>
    <row r="194" spans="1:12" ht="44.25" customHeight="1">
      <c r="A194" s="368"/>
      <c r="B194" s="322" t="s">
        <v>226</v>
      </c>
      <c r="C194" s="271">
        <f aca="true" t="shared" si="49" ref="C194:L194">SUM(C191,C183,C169,C167,C189,)</f>
        <v>22320361.410000004</v>
      </c>
      <c r="D194" s="271">
        <f t="shared" si="49"/>
        <v>681000</v>
      </c>
      <c r="E194" s="271">
        <f t="shared" si="49"/>
        <v>2564252.1</v>
      </c>
      <c r="F194" s="271">
        <f t="shared" si="49"/>
        <v>20437109.310000002</v>
      </c>
      <c r="G194" s="271">
        <f t="shared" si="49"/>
        <v>4352550.53</v>
      </c>
      <c r="H194" s="271">
        <f t="shared" si="49"/>
        <v>11059.2</v>
      </c>
      <c r="I194" s="271">
        <f t="shared" si="49"/>
        <v>1007850</v>
      </c>
      <c r="J194" s="271">
        <f t="shared" si="49"/>
        <v>3355759.73</v>
      </c>
      <c r="K194" s="271">
        <f t="shared" si="49"/>
        <v>26672911.94</v>
      </c>
      <c r="L194" s="271">
        <f t="shared" si="49"/>
        <v>23792869.040000003</v>
      </c>
    </row>
    <row r="195" spans="1:12" ht="39" customHeight="1">
      <c r="A195" s="242">
        <v>823000</v>
      </c>
      <c r="B195" s="345" t="s">
        <v>812</v>
      </c>
      <c r="C195" s="273">
        <f aca="true" t="shared" si="50" ref="C195:L195">SUM(C197,C196)</f>
        <v>3440000</v>
      </c>
      <c r="D195" s="273">
        <f t="shared" si="50"/>
        <v>0</v>
      </c>
      <c r="E195" s="273">
        <f t="shared" si="50"/>
        <v>0</v>
      </c>
      <c r="F195" s="273">
        <f t="shared" si="50"/>
        <v>3440000</v>
      </c>
      <c r="G195" s="273">
        <f t="shared" si="50"/>
        <v>0</v>
      </c>
      <c r="H195" s="273">
        <f t="shared" si="50"/>
        <v>0</v>
      </c>
      <c r="I195" s="273">
        <f t="shared" si="50"/>
        <v>0</v>
      </c>
      <c r="J195" s="273">
        <f t="shared" si="50"/>
        <v>0</v>
      </c>
      <c r="K195" s="273">
        <f t="shared" si="50"/>
        <v>3440000</v>
      </c>
      <c r="L195" s="273">
        <f t="shared" si="50"/>
        <v>3440000</v>
      </c>
    </row>
    <row r="196" spans="1:12" ht="33" customHeight="1">
      <c r="A196" s="313">
        <v>823300</v>
      </c>
      <c r="B196" s="369" t="s">
        <v>808</v>
      </c>
      <c r="C196" s="347">
        <f>SUM('POSEBNI DIO 24-52'!G483,'POSEBNI DIO 24-52'!G437,)</f>
        <v>1390000</v>
      </c>
      <c r="D196" s="347">
        <f>SUM('POSEBNI DIO 24-52'!H483,'POSEBNI DIO 24-52'!H437,)</f>
        <v>0</v>
      </c>
      <c r="E196" s="347">
        <f>SUM('POSEBNI DIO 24-52'!I483,'POSEBNI DIO 24-52'!I437,)</f>
        <v>0</v>
      </c>
      <c r="F196" s="347">
        <f>SUM('POSEBNI DIO 24-52'!J483,'POSEBNI DIO 24-52'!J437,)</f>
        <v>1390000</v>
      </c>
      <c r="G196" s="347">
        <f>SUM('POSEBNI DIO 24-52'!K483,'POSEBNI DIO 24-52'!K437,)</f>
        <v>0</v>
      </c>
      <c r="H196" s="347">
        <f>SUM('POSEBNI DIO 24-52'!L483,'POSEBNI DIO 24-52'!L437,)</f>
        <v>0</v>
      </c>
      <c r="I196" s="347">
        <f>SUM('POSEBNI DIO 24-52'!M483,'POSEBNI DIO 24-52'!M437,)</f>
        <v>0</v>
      </c>
      <c r="J196" s="347">
        <f>SUM('POSEBNI DIO 24-52'!N483,'POSEBNI DIO 24-52'!N437,)</f>
        <v>0</v>
      </c>
      <c r="K196" s="347">
        <f>SUM('POSEBNI DIO 24-52'!O483,'POSEBNI DIO 24-52'!O437,)</f>
        <v>1390000</v>
      </c>
      <c r="L196" s="347">
        <f>SUM('POSEBNI DIO 24-52'!P483,'POSEBNI DIO 24-52'!P437,)</f>
        <v>1390000</v>
      </c>
    </row>
    <row r="197" spans="1:12" ht="33" customHeight="1">
      <c r="A197" s="313">
        <v>823500</v>
      </c>
      <c r="B197" s="967" t="s">
        <v>982</v>
      </c>
      <c r="C197" s="347">
        <f>SUM('POSEBNI DIO 24-52'!G484,'POSEBNI DIO 24-52'!G485,)</f>
        <v>2050000</v>
      </c>
      <c r="D197" s="347">
        <f>SUM('POSEBNI DIO 24-52'!H484,'POSEBNI DIO 24-52'!H485,)</f>
        <v>0</v>
      </c>
      <c r="E197" s="347">
        <f>SUM('POSEBNI DIO 24-52'!I484,'POSEBNI DIO 24-52'!I485,)</f>
        <v>0</v>
      </c>
      <c r="F197" s="347">
        <f>SUM('POSEBNI DIO 24-52'!J484,'POSEBNI DIO 24-52'!J485,)</f>
        <v>2050000</v>
      </c>
      <c r="G197" s="347">
        <f>SUM('POSEBNI DIO 24-52'!K484,'POSEBNI DIO 24-52'!K485,)</f>
        <v>0</v>
      </c>
      <c r="H197" s="347">
        <f>SUM('POSEBNI DIO 24-52'!L484,'POSEBNI DIO 24-52'!L485,)</f>
        <v>0</v>
      </c>
      <c r="I197" s="347">
        <f>SUM('POSEBNI DIO 24-52'!M484,'POSEBNI DIO 24-52'!M485,)</f>
        <v>0</v>
      </c>
      <c r="J197" s="347">
        <f>SUM('POSEBNI DIO 24-52'!N484,'POSEBNI DIO 24-52'!N485,)</f>
        <v>0</v>
      </c>
      <c r="K197" s="347">
        <f>SUM('POSEBNI DIO 24-52'!O484,'POSEBNI DIO 24-52'!O485,)</f>
        <v>2050000</v>
      </c>
      <c r="L197" s="347">
        <f>SUM('POSEBNI DIO 24-52'!P484,'POSEBNI DIO 24-52'!P485,)</f>
        <v>2050000</v>
      </c>
    </row>
    <row r="198" spans="1:12" ht="33" customHeight="1">
      <c r="A198" s="261">
        <v>610000</v>
      </c>
      <c r="B198" s="345" t="s">
        <v>106</v>
      </c>
      <c r="C198" s="273">
        <f>SUM('POSEBNI DIO 24-52'!G110,)</f>
        <v>150000</v>
      </c>
      <c r="D198" s="273">
        <f>SUM('POSEBNI DIO 24-52'!H110,)</f>
        <v>0</v>
      </c>
      <c r="E198" s="273">
        <f>SUM('POSEBNI DIO 24-52'!I110,)</f>
        <v>0</v>
      </c>
      <c r="F198" s="273">
        <f>SUM('POSEBNI DIO 24-52'!J110,)</f>
        <v>150000</v>
      </c>
      <c r="G198" s="273">
        <f>SUM('POSEBNI DIO 24-52'!K110,)</f>
        <v>0</v>
      </c>
      <c r="H198" s="273">
        <f>SUM('POSEBNI DIO 24-52'!L110,)</f>
        <v>0</v>
      </c>
      <c r="I198" s="273">
        <f>SUM('POSEBNI DIO 24-52'!M110,)</f>
        <v>0</v>
      </c>
      <c r="J198" s="273">
        <f>SUM('POSEBNI DIO 24-52'!N110,)</f>
        <v>0</v>
      </c>
      <c r="K198" s="273">
        <f>SUM('POSEBNI DIO 24-52'!O110,)</f>
        <v>150000</v>
      </c>
      <c r="L198" s="273">
        <f>SUM('POSEBNI DIO 24-52'!P110,)</f>
        <v>150000</v>
      </c>
    </row>
    <row r="199" spans="1:12" ht="33" customHeight="1">
      <c r="A199" s="261">
        <v>610000</v>
      </c>
      <c r="B199" s="353" t="s">
        <v>483</v>
      </c>
      <c r="C199" s="273">
        <f>SUM('POSEBNI DIO 24-52'!G116:G124)</f>
        <v>2300</v>
      </c>
      <c r="D199" s="273">
        <f>SUM('POSEBNI DIO 24-52'!H116:H124)</f>
        <v>0</v>
      </c>
      <c r="E199" s="273">
        <f>SUM('POSEBNI DIO 24-52'!I116:I124)</f>
        <v>0</v>
      </c>
      <c r="F199" s="273">
        <f>SUM('POSEBNI DIO 24-52'!J116:J124)</f>
        <v>2300</v>
      </c>
      <c r="G199" s="273">
        <f>SUM('POSEBNI DIO 24-52'!K116:K124)</f>
        <v>47600</v>
      </c>
      <c r="H199" s="273">
        <f>SUM('POSEBNI DIO 24-52'!L116:L124)</f>
        <v>0</v>
      </c>
      <c r="I199" s="273">
        <f>SUM('POSEBNI DIO 24-52'!M116:M124)</f>
        <v>0</v>
      </c>
      <c r="J199" s="273">
        <f>SUM('POSEBNI DIO 24-52'!N116:N124)</f>
        <v>47600</v>
      </c>
      <c r="K199" s="273">
        <f>SUM('POSEBNI DIO 24-52'!O116:O124)</f>
        <v>49900</v>
      </c>
      <c r="L199" s="273">
        <f>SUM('POSEBNI DIO 24-52'!P116:P124)</f>
        <v>49900</v>
      </c>
    </row>
    <row r="200" spans="1:12" ht="39" customHeight="1" thickBot="1">
      <c r="A200" s="370">
        <v>820000</v>
      </c>
      <c r="B200" s="371" t="s">
        <v>483</v>
      </c>
      <c r="C200" s="281">
        <f>SUM('POSEBNI DIO 24-52'!G126:G127)</f>
        <v>0</v>
      </c>
      <c r="D200" s="281">
        <f>SUM('POSEBNI DIO 24-52'!H126:H127)</f>
        <v>0</v>
      </c>
      <c r="E200" s="281">
        <f>SUM('POSEBNI DIO 24-52'!I126:I127)</f>
        <v>0</v>
      </c>
      <c r="F200" s="281">
        <f>SUM('POSEBNI DIO 24-52'!J126:J127)</f>
        <v>0</v>
      </c>
      <c r="G200" s="281">
        <f>SUM('POSEBNI DIO 24-52'!K126:K127)</f>
        <v>168000</v>
      </c>
      <c r="H200" s="281">
        <f>SUM('POSEBNI DIO 24-52'!L126:L127)</f>
        <v>0</v>
      </c>
      <c r="I200" s="281">
        <f>SUM('POSEBNI DIO 24-52'!M126:M127)</f>
        <v>0</v>
      </c>
      <c r="J200" s="281">
        <f>SUM('POSEBNI DIO 24-52'!N126:N127)</f>
        <v>168000</v>
      </c>
      <c r="K200" s="273">
        <f>SUM('POSEBNI DIO 24-52'!O126:O127)</f>
        <v>168000</v>
      </c>
      <c r="L200" s="281">
        <f>SUM('POSEBNI DIO 24-52'!P126:P127)</f>
        <v>168000</v>
      </c>
    </row>
    <row r="201" spans="1:12" s="375" customFormat="1" ht="60" customHeight="1" thickBot="1">
      <c r="A201" s="372"/>
      <c r="B201" s="373" t="s">
        <v>107</v>
      </c>
      <c r="C201" s="374">
        <f aca="true" t="shared" si="51" ref="C201:L201">SUM(C194,C198,C160,C157,C146,C111,C49,C45,C41,C200,C199,C195)</f>
        <v>68357479.26</v>
      </c>
      <c r="D201" s="374">
        <f t="shared" si="51"/>
        <v>6144043.37</v>
      </c>
      <c r="E201" s="374">
        <f t="shared" si="51"/>
        <v>6001252.1</v>
      </c>
      <c r="F201" s="374">
        <f t="shared" si="51"/>
        <v>68500270.53</v>
      </c>
      <c r="G201" s="374">
        <f t="shared" si="51"/>
        <v>8431184.23</v>
      </c>
      <c r="H201" s="374">
        <f t="shared" si="51"/>
        <v>11059.2</v>
      </c>
      <c r="I201" s="374">
        <f t="shared" si="51"/>
        <v>1107850</v>
      </c>
      <c r="J201" s="374">
        <f t="shared" si="51"/>
        <v>7334393.430000001</v>
      </c>
      <c r="K201" s="374">
        <f t="shared" si="51"/>
        <v>76788663.49</v>
      </c>
      <c r="L201" s="374">
        <f t="shared" si="51"/>
        <v>75834663.96000001</v>
      </c>
    </row>
  </sheetData>
  <sheetProtection/>
  <mergeCells count="2">
    <mergeCell ref="A2:L2"/>
    <mergeCell ref="A3:L3"/>
  </mergeCells>
  <printOptions horizontalCentered="1"/>
  <pageMargins left="0.8661417322834646" right="0.5511811023622047" top="0.8267716535433072" bottom="0.984251968503937" header="0.5118110236220472" footer="0.5118110236220472"/>
  <pageSetup firstPageNumber="25" useFirstPageNumber="1" horizontalDpi="600" verticalDpi="600" orientation="landscape" paperSize="9" scale="22" r:id="rId1"/>
  <headerFooter alignWithMargins="0">
    <oddHeader>&amp;C&amp;22&amp;P</oddHeader>
  </headerFooter>
  <rowBreaks count="4" manualBreakCount="4">
    <brk id="33" max="255" man="1"/>
    <brk id="66" max="255" man="1"/>
    <brk id="111" max="255" man="1"/>
    <brk id="16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P133"/>
  <sheetViews>
    <sheetView view="pageBreakPreview" zoomScale="75" zoomScaleNormal="60" zoomScaleSheetLayoutView="75" zoomScalePageLayoutView="0" workbookViewId="0" topLeftCell="C64">
      <selection activeCell="D64" sqref="D64:L64"/>
    </sheetView>
  </sheetViews>
  <sheetFormatPr defaultColWidth="9.140625" defaultRowHeight="12.75"/>
  <cols>
    <col min="1" max="1" width="15.140625" style="37" customWidth="1"/>
    <col min="2" max="2" width="77.421875" style="37" customWidth="1"/>
    <col min="3" max="5" width="20.8515625" style="37" customWidth="1"/>
    <col min="6" max="6" width="22.421875" style="37" customWidth="1"/>
    <col min="7" max="9" width="20.8515625" style="37" customWidth="1"/>
    <col min="10" max="10" width="22.421875" style="37" customWidth="1"/>
    <col min="11" max="11" width="20.8515625" style="37" customWidth="1"/>
    <col min="12" max="12" width="21.8515625" style="38" customWidth="1"/>
    <col min="13" max="13" width="21.8515625" style="37" customWidth="1"/>
    <col min="14" max="16384" width="9.140625" style="37" customWidth="1"/>
  </cols>
  <sheetData>
    <row r="1" ht="16.5" customHeight="1"/>
    <row r="2" ht="22.5" customHeight="1" thickBot="1">
      <c r="B2" s="39" t="s">
        <v>161</v>
      </c>
    </row>
    <row r="3" spans="1:12" ht="240" customHeight="1">
      <c r="A3" s="40" t="s">
        <v>497</v>
      </c>
      <c r="B3" s="41" t="s">
        <v>700</v>
      </c>
      <c r="C3" s="9" t="s">
        <v>1132</v>
      </c>
      <c r="D3" s="9" t="s">
        <v>1356</v>
      </c>
      <c r="E3" s="9" t="s">
        <v>1357</v>
      </c>
      <c r="F3" s="9" t="s">
        <v>1358</v>
      </c>
      <c r="G3" s="9" t="s">
        <v>1186</v>
      </c>
      <c r="H3" s="9" t="s">
        <v>1359</v>
      </c>
      <c r="I3" s="9" t="s">
        <v>1360</v>
      </c>
      <c r="J3" s="9" t="s">
        <v>1361</v>
      </c>
      <c r="K3" s="9" t="s">
        <v>1133</v>
      </c>
      <c r="L3" s="9" t="s">
        <v>1355</v>
      </c>
    </row>
    <row r="4" spans="1:12" ht="20.25">
      <c r="A4" s="42">
        <v>0</v>
      </c>
      <c r="B4" s="43">
        <v>1</v>
      </c>
      <c r="C4" s="44">
        <v>2</v>
      </c>
      <c r="D4" s="44">
        <v>3</v>
      </c>
      <c r="E4" s="44">
        <v>4</v>
      </c>
      <c r="F4" s="44">
        <v>5</v>
      </c>
      <c r="G4" s="44">
        <v>6</v>
      </c>
      <c r="H4" s="44">
        <v>7</v>
      </c>
      <c r="I4" s="44">
        <v>8</v>
      </c>
      <c r="J4" s="44">
        <v>9</v>
      </c>
      <c r="K4" s="44">
        <v>10</v>
      </c>
      <c r="L4" s="1004">
        <v>11</v>
      </c>
    </row>
    <row r="5" spans="1:12" ht="32.25" customHeight="1">
      <c r="A5" s="45"/>
      <c r="B5" s="46" t="s">
        <v>227</v>
      </c>
      <c r="C5" s="47">
        <f aca="true" t="shared" si="0" ref="C5:L5">SUM(C6:C15)</f>
        <v>68357479.26</v>
      </c>
      <c r="D5" s="47">
        <f t="shared" si="0"/>
        <v>6144043.37</v>
      </c>
      <c r="E5" s="47">
        <f t="shared" si="0"/>
        <v>6001252.1</v>
      </c>
      <c r="F5" s="47">
        <f t="shared" si="0"/>
        <v>68500270.53</v>
      </c>
      <c r="G5" s="47">
        <f t="shared" si="0"/>
        <v>8431184.23</v>
      </c>
      <c r="H5" s="47">
        <f t="shared" si="0"/>
        <v>11059.2</v>
      </c>
      <c r="I5" s="47">
        <f t="shared" si="0"/>
        <v>1107850</v>
      </c>
      <c r="J5" s="47">
        <f t="shared" si="0"/>
        <v>7334393.43</v>
      </c>
      <c r="K5" s="47">
        <f t="shared" si="0"/>
        <v>76788663.49</v>
      </c>
      <c r="L5" s="47">
        <f t="shared" si="0"/>
        <v>75834663.96000001</v>
      </c>
    </row>
    <row r="6" spans="1:12" ht="29.25" customHeight="1">
      <c r="A6" s="45">
        <v>100</v>
      </c>
      <c r="B6" s="48" t="s">
        <v>549</v>
      </c>
      <c r="C6" s="49">
        <f aca="true" t="shared" si="1" ref="C6:L6">SUM(C21,)</f>
        <v>15325992.33</v>
      </c>
      <c r="D6" s="49">
        <f t="shared" si="1"/>
        <v>40000</v>
      </c>
      <c r="E6" s="49">
        <f t="shared" si="1"/>
        <v>187200</v>
      </c>
      <c r="F6" s="49">
        <f t="shared" si="1"/>
        <v>15178792.33</v>
      </c>
      <c r="G6" s="49">
        <f t="shared" si="1"/>
        <v>230887.31</v>
      </c>
      <c r="H6" s="49">
        <f t="shared" si="1"/>
        <v>0</v>
      </c>
      <c r="I6" s="49">
        <f t="shared" si="1"/>
        <v>0</v>
      </c>
      <c r="J6" s="49">
        <f t="shared" si="1"/>
        <v>230887.31</v>
      </c>
      <c r="K6" s="49">
        <f t="shared" si="1"/>
        <v>15556879.64</v>
      </c>
      <c r="L6" s="49">
        <f t="shared" si="1"/>
        <v>15409679.64</v>
      </c>
    </row>
    <row r="7" spans="1:12" ht="29.25" customHeight="1">
      <c r="A7" s="45">
        <v>200</v>
      </c>
      <c r="B7" s="48" t="s">
        <v>586</v>
      </c>
      <c r="C7" s="49">
        <f aca="true" t="shared" si="2" ref="C7:L7">SUM(C28)</f>
        <v>6209537.600000001</v>
      </c>
      <c r="D7" s="49">
        <f t="shared" si="2"/>
        <v>30000</v>
      </c>
      <c r="E7" s="49">
        <f t="shared" si="2"/>
        <v>30000</v>
      </c>
      <c r="F7" s="49">
        <f t="shared" si="2"/>
        <v>6209537.600000001</v>
      </c>
      <c r="G7" s="49">
        <f t="shared" si="2"/>
        <v>279572.79</v>
      </c>
      <c r="H7" s="49">
        <f t="shared" si="2"/>
        <v>0</v>
      </c>
      <c r="I7" s="49">
        <f t="shared" si="2"/>
        <v>0</v>
      </c>
      <c r="J7" s="49">
        <f t="shared" si="2"/>
        <v>279572.79</v>
      </c>
      <c r="K7" s="49">
        <f t="shared" si="2"/>
        <v>6489110.390000001</v>
      </c>
      <c r="L7" s="49">
        <f t="shared" si="2"/>
        <v>6489110.390000001</v>
      </c>
    </row>
    <row r="8" spans="1:12" ht="28.5" customHeight="1">
      <c r="A8" s="45">
        <v>300</v>
      </c>
      <c r="B8" s="48" t="s">
        <v>558</v>
      </c>
      <c r="C8" s="49">
        <f aca="true" t="shared" si="3" ref="C8:L8">SUM(C31)</f>
        <v>1100237.32</v>
      </c>
      <c r="D8" s="49">
        <f t="shared" si="3"/>
        <v>36000</v>
      </c>
      <c r="E8" s="49">
        <f t="shared" si="3"/>
        <v>51000</v>
      </c>
      <c r="F8" s="49">
        <f t="shared" si="3"/>
        <v>1085237.32</v>
      </c>
      <c r="G8" s="49">
        <f t="shared" si="3"/>
        <v>17084.7</v>
      </c>
      <c r="H8" s="49">
        <f t="shared" si="3"/>
        <v>0</v>
      </c>
      <c r="I8" s="49">
        <f t="shared" si="3"/>
        <v>7850</v>
      </c>
      <c r="J8" s="49">
        <f t="shared" si="3"/>
        <v>9234.7</v>
      </c>
      <c r="K8" s="49">
        <f t="shared" si="3"/>
        <v>1117322.02</v>
      </c>
      <c r="L8" s="49">
        <f t="shared" si="3"/>
        <v>1094472.02</v>
      </c>
    </row>
    <row r="9" spans="1:12" ht="29.25" customHeight="1">
      <c r="A9" s="45">
        <v>400</v>
      </c>
      <c r="B9" s="48" t="s">
        <v>561</v>
      </c>
      <c r="C9" s="49">
        <f aca="true" t="shared" si="4" ref="C9:L9">SUM(C35)</f>
        <v>3280494.86</v>
      </c>
      <c r="D9" s="49">
        <f t="shared" si="4"/>
        <v>640000</v>
      </c>
      <c r="E9" s="49">
        <f t="shared" si="4"/>
        <v>81000</v>
      </c>
      <c r="F9" s="49">
        <f t="shared" si="4"/>
        <v>3839494.86</v>
      </c>
      <c r="G9" s="49">
        <f t="shared" si="4"/>
        <v>100000</v>
      </c>
      <c r="H9" s="49">
        <f t="shared" si="4"/>
        <v>0</v>
      </c>
      <c r="I9" s="49">
        <f t="shared" si="4"/>
        <v>0</v>
      </c>
      <c r="J9" s="49">
        <f t="shared" si="4"/>
        <v>100000</v>
      </c>
      <c r="K9" s="49">
        <f t="shared" si="4"/>
        <v>3380494.86</v>
      </c>
      <c r="L9" s="49">
        <f t="shared" si="4"/>
        <v>3939494.86</v>
      </c>
    </row>
    <row r="10" spans="1:12" ht="29.25" customHeight="1">
      <c r="A10" s="45">
        <v>500</v>
      </c>
      <c r="B10" s="854" t="s">
        <v>937</v>
      </c>
      <c r="C10" s="49">
        <f aca="true" t="shared" si="5" ref="C10:L10">SUM(C40)</f>
        <v>4810988.71</v>
      </c>
      <c r="D10" s="49">
        <f t="shared" si="5"/>
        <v>0</v>
      </c>
      <c r="E10" s="49">
        <f t="shared" si="5"/>
        <v>1739552.1</v>
      </c>
      <c r="F10" s="49">
        <f t="shared" si="5"/>
        <v>3071436.61</v>
      </c>
      <c r="G10" s="49">
        <f t="shared" si="5"/>
        <v>1693227.93</v>
      </c>
      <c r="H10" s="49">
        <f t="shared" si="5"/>
        <v>11059.2</v>
      </c>
      <c r="I10" s="49">
        <f t="shared" si="5"/>
        <v>0</v>
      </c>
      <c r="J10" s="49">
        <f t="shared" si="5"/>
        <v>1704287.13</v>
      </c>
      <c r="K10" s="49">
        <f t="shared" si="5"/>
        <v>6504216.640000001</v>
      </c>
      <c r="L10" s="49">
        <f t="shared" si="5"/>
        <v>4775723.739999999</v>
      </c>
    </row>
    <row r="11" spans="1:12" ht="28.5" customHeight="1">
      <c r="A11" s="45">
        <v>600</v>
      </c>
      <c r="B11" s="854" t="s">
        <v>949</v>
      </c>
      <c r="C11" s="49">
        <f aca="true" t="shared" si="6" ref="C11:L11">SUM(C42)</f>
        <v>26107928.44</v>
      </c>
      <c r="D11" s="49">
        <f t="shared" si="6"/>
        <v>4000000</v>
      </c>
      <c r="E11" s="49">
        <f t="shared" si="6"/>
        <v>3574000</v>
      </c>
      <c r="F11" s="49">
        <f t="shared" si="6"/>
        <v>26533928.440000005</v>
      </c>
      <c r="G11" s="49">
        <f t="shared" si="6"/>
        <v>2524300.9000000004</v>
      </c>
      <c r="H11" s="49">
        <f t="shared" si="6"/>
        <v>0</v>
      </c>
      <c r="I11" s="49">
        <f t="shared" si="6"/>
        <v>1000000</v>
      </c>
      <c r="J11" s="49">
        <f t="shared" si="6"/>
        <v>1524300.9000000001</v>
      </c>
      <c r="K11" s="49">
        <f t="shared" si="6"/>
        <v>28632229.340000004</v>
      </c>
      <c r="L11" s="49">
        <f t="shared" si="6"/>
        <v>28058229.340000004</v>
      </c>
    </row>
    <row r="12" spans="1:12" ht="29.25" customHeight="1">
      <c r="A12" s="45">
        <v>700</v>
      </c>
      <c r="B12" s="48" t="s">
        <v>570</v>
      </c>
      <c r="C12" s="49">
        <f aca="true" t="shared" si="7" ref="C12:L12">SUM(C51)</f>
        <v>178000</v>
      </c>
      <c r="D12" s="49">
        <f t="shared" si="7"/>
        <v>0</v>
      </c>
      <c r="E12" s="49">
        <f t="shared" si="7"/>
        <v>0</v>
      </c>
      <c r="F12" s="49">
        <f t="shared" si="7"/>
        <v>178000</v>
      </c>
      <c r="G12" s="49">
        <f t="shared" si="7"/>
        <v>0</v>
      </c>
      <c r="H12" s="49">
        <f t="shared" si="7"/>
        <v>0</v>
      </c>
      <c r="I12" s="49">
        <f t="shared" si="7"/>
        <v>0</v>
      </c>
      <c r="J12" s="49">
        <f t="shared" si="7"/>
        <v>0</v>
      </c>
      <c r="K12" s="49">
        <f t="shared" si="7"/>
        <v>178000</v>
      </c>
      <c r="L12" s="49">
        <f t="shared" si="7"/>
        <v>178000</v>
      </c>
    </row>
    <row r="13" spans="1:12" ht="34.5" customHeight="1">
      <c r="A13" s="50">
        <v>800</v>
      </c>
      <c r="B13" s="51" t="s">
        <v>587</v>
      </c>
      <c r="C13" s="49">
        <f aca="true" t="shared" si="8" ref="C13:L13">SUM(C54)</f>
        <v>5151500</v>
      </c>
      <c r="D13" s="49">
        <f t="shared" si="8"/>
        <v>62000</v>
      </c>
      <c r="E13" s="49">
        <f t="shared" si="8"/>
        <v>228000</v>
      </c>
      <c r="F13" s="49">
        <f t="shared" si="8"/>
        <v>4985500</v>
      </c>
      <c r="G13" s="49">
        <f t="shared" si="8"/>
        <v>335064</v>
      </c>
      <c r="H13" s="49">
        <f t="shared" si="8"/>
        <v>0</v>
      </c>
      <c r="I13" s="49">
        <f t="shared" si="8"/>
        <v>0</v>
      </c>
      <c r="J13" s="49">
        <f t="shared" si="8"/>
        <v>335064</v>
      </c>
      <c r="K13" s="49">
        <f t="shared" si="8"/>
        <v>5486564</v>
      </c>
      <c r="L13" s="49">
        <f t="shared" si="8"/>
        <v>5320564</v>
      </c>
    </row>
    <row r="14" spans="1:12" ht="32.25" customHeight="1">
      <c r="A14" s="50">
        <v>900</v>
      </c>
      <c r="B14" s="51" t="s">
        <v>581</v>
      </c>
      <c r="C14" s="49">
        <f aca="true" t="shared" si="9" ref="C14:L14">SUM(C60,)</f>
        <v>2180000</v>
      </c>
      <c r="D14" s="49">
        <f t="shared" si="9"/>
        <v>100000</v>
      </c>
      <c r="E14" s="49">
        <f t="shared" si="9"/>
        <v>34300</v>
      </c>
      <c r="F14" s="49">
        <f t="shared" si="9"/>
        <v>2245700</v>
      </c>
      <c r="G14" s="49">
        <f t="shared" si="9"/>
        <v>2277046.6</v>
      </c>
      <c r="H14" s="49">
        <f t="shared" si="9"/>
        <v>0</v>
      </c>
      <c r="I14" s="49">
        <f t="shared" si="9"/>
        <v>100000</v>
      </c>
      <c r="J14" s="49">
        <f t="shared" si="9"/>
        <v>2177046.6</v>
      </c>
      <c r="K14" s="49">
        <f t="shared" si="9"/>
        <v>4457046.6</v>
      </c>
      <c r="L14" s="49">
        <f t="shared" si="9"/>
        <v>4422746.6</v>
      </c>
    </row>
    <row r="15" spans="1:12" ht="42.75" customHeight="1" thickBot="1">
      <c r="A15" s="52">
        <v>1000</v>
      </c>
      <c r="B15" s="53" t="s">
        <v>588</v>
      </c>
      <c r="C15" s="54">
        <f aca="true" t="shared" si="10" ref="C15:L15">SUM(C63)</f>
        <v>4012800</v>
      </c>
      <c r="D15" s="54">
        <f t="shared" si="10"/>
        <v>1236043.37</v>
      </c>
      <c r="E15" s="54">
        <f t="shared" si="10"/>
        <v>76200</v>
      </c>
      <c r="F15" s="54">
        <f t="shared" si="10"/>
        <v>5172643.37</v>
      </c>
      <c r="G15" s="54">
        <f t="shared" si="10"/>
        <v>974000</v>
      </c>
      <c r="H15" s="54">
        <f t="shared" si="10"/>
        <v>0</v>
      </c>
      <c r="I15" s="54">
        <f t="shared" si="10"/>
        <v>0</v>
      </c>
      <c r="J15" s="54">
        <f t="shared" si="10"/>
        <v>974000</v>
      </c>
      <c r="K15" s="54">
        <f t="shared" si="10"/>
        <v>4986800</v>
      </c>
      <c r="L15" s="54">
        <f t="shared" si="10"/>
        <v>6146643.37</v>
      </c>
    </row>
    <row r="16" spans="3:12" ht="12.75">
      <c r="C16" s="55"/>
      <c r="D16" s="55"/>
      <c r="E16" s="55"/>
      <c r="F16" s="55"/>
      <c r="G16" s="55"/>
      <c r="H16" s="55"/>
      <c r="I16" s="55"/>
      <c r="J16" s="55"/>
      <c r="K16" s="55"/>
      <c r="L16" s="1005"/>
    </row>
    <row r="17" spans="3:12" ht="13.5" thickBot="1">
      <c r="C17" s="55"/>
      <c r="D17" s="55"/>
      <c r="E17" s="55"/>
      <c r="F17" s="55"/>
      <c r="G17" s="55"/>
      <c r="H17" s="55"/>
      <c r="I17" s="55"/>
      <c r="J17" s="55"/>
      <c r="K17" s="55"/>
      <c r="L17" s="1005"/>
    </row>
    <row r="18" spans="1:12" ht="217.5" customHeight="1">
      <c r="A18" s="40" t="s">
        <v>497</v>
      </c>
      <c r="B18" s="41" t="s">
        <v>700</v>
      </c>
      <c r="C18" s="9" t="s">
        <v>1132</v>
      </c>
      <c r="D18" s="9" t="s">
        <v>1356</v>
      </c>
      <c r="E18" s="9" t="s">
        <v>1357</v>
      </c>
      <c r="F18" s="9" t="s">
        <v>1358</v>
      </c>
      <c r="G18" s="9" t="s">
        <v>1186</v>
      </c>
      <c r="H18" s="9" t="s">
        <v>1359</v>
      </c>
      <c r="I18" s="9" t="s">
        <v>1360</v>
      </c>
      <c r="J18" s="9" t="s">
        <v>1361</v>
      </c>
      <c r="K18" s="9" t="s">
        <v>1133</v>
      </c>
      <c r="L18" s="9" t="s">
        <v>1355</v>
      </c>
    </row>
    <row r="19" spans="1:12" ht="20.25">
      <c r="A19" s="42">
        <v>0</v>
      </c>
      <c r="B19" s="43">
        <v>1</v>
      </c>
      <c r="C19" s="44">
        <v>2</v>
      </c>
      <c r="D19" s="44">
        <v>3</v>
      </c>
      <c r="E19" s="44">
        <v>4</v>
      </c>
      <c r="F19" s="44">
        <v>5</v>
      </c>
      <c r="G19" s="44">
        <v>6</v>
      </c>
      <c r="H19" s="44">
        <v>7</v>
      </c>
      <c r="I19" s="44">
        <v>8</v>
      </c>
      <c r="J19" s="44">
        <v>9</v>
      </c>
      <c r="K19" s="44">
        <v>10</v>
      </c>
      <c r="L19" s="1004">
        <v>11</v>
      </c>
    </row>
    <row r="20" spans="1:12" ht="32.25" customHeight="1">
      <c r="A20" s="45"/>
      <c r="B20" s="46" t="s">
        <v>227</v>
      </c>
      <c r="C20" s="47">
        <f aca="true" t="shared" si="11" ref="C20:L20">SUM(C21,C28,C31,C35,C42,C51,C54,C60,C63,C40,)</f>
        <v>68357479.25999999</v>
      </c>
      <c r="D20" s="47">
        <f t="shared" si="11"/>
        <v>6144043.37</v>
      </c>
      <c r="E20" s="47">
        <f t="shared" si="11"/>
        <v>6001252.1</v>
      </c>
      <c r="F20" s="47">
        <f t="shared" si="11"/>
        <v>68500270.53</v>
      </c>
      <c r="G20" s="47">
        <f t="shared" si="11"/>
        <v>8431184.23</v>
      </c>
      <c r="H20" s="47">
        <f t="shared" si="11"/>
        <v>11059.2</v>
      </c>
      <c r="I20" s="47">
        <f t="shared" si="11"/>
        <v>1107850</v>
      </c>
      <c r="J20" s="47">
        <f t="shared" si="11"/>
        <v>7334393.430000001</v>
      </c>
      <c r="K20" s="47">
        <f t="shared" si="11"/>
        <v>76788663.49</v>
      </c>
      <c r="L20" s="47">
        <f t="shared" si="11"/>
        <v>75834663.96</v>
      </c>
    </row>
    <row r="21" spans="1:12" ht="24.75" customHeight="1">
      <c r="A21" s="56">
        <v>100</v>
      </c>
      <c r="B21" s="57" t="s">
        <v>549</v>
      </c>
      <c r="C21" s="47">
        <f aca="true" t="shared" si="12" ref="C21:L21">SUM(C22:C27)</f>
        <v>15325992.33</v>
      </c>
      <c r="D21" s="47">
        <f t="shared" si="12"/>
        <v>40000</v>
      </c>
      <c r="E21" s="47">
        <f t="shared" si="12"/>
        <v>187200</v>
      </c>
      <c r="F21" s="47">
        <f t="shared" si="12"/>
        <v>15178792.33</v>
      </c>
      <c r="G21" s="47">
        <f t="shared" si="12"/>
        <v>230887.31</v>
      </c>
      <c r="H21" s="47">
        <f t="shared" si="12"/>
        <v>0</v>
      </c>
      <c r="I21" s="47">
        <f t="shared" si="12"/>
        <v>0</v>
      </c>
      <c r="J21" s="47">
        <f t="shared" si="12"/>
        <v>230887.31</v>
      </c>
      <c r="K21" s="47">
        <f t="shared" si="12"/>
        <v>15556879.64</v>
      </c>
      <c r="L21" s="47">
        <f t="shared" si="12"/>
        <v>15409679.64</v>
      </c>
    </row>
    <row r="22" spans="1:12" ht="24.75" customHeight="1">
      <c r="A22" s="45">
        <v>111</v>
      </c>
      <c r="B22" s="58" t="s">
        <v>552</v>
      </c>
      <c r="C22" s="49">
        <f>SUM('POSEBNI DIO 24-52'!G54,'POSEBNI DIO 24-52'!G72,'POSEBNI DIO 24-52'!G80:G92,'POSEBNI DIO 24-52'!G95:G96,'POSEBNI DIO 24-52'!G94,'POSEBNI DIO 24-52'!G99,)</f>
        <v>2877400</v>
      </c>
      <c r="D22" s="49">
        <f>SUM('POSEBNI DIO 24-52'!H54,'POSEBNI DIO 24-52'!H72,'POSEBNI DIO 24-52'!H80:H92,'POSEBNI DIO 24-52'!H95:H96,'POSEBNI DIO 24-52'!H94,'POSEBNI DIO 24-52'!H99,)</f>
        <v>40000</v>
      </c>
      <c r="E22" s="49">
        <f>SUM('POSEBNI DIO 24-52'!I54,'POSEBNI DIO 24-52'!I72,'POSEBNI DIO 24-52'!I80:I92,'POSEBNI DIO 24-52'!I95:I96,'POSEBNI DIO 24-52'!I94,'POSEBNI DIO 24-52'!I99,)</f>
        <v>29000</v>
      </c>
      <c r="F22" s="49">
        <f>SUM('POSEBNI DIO 24-52'!J54,'POSEBNI DIO 24-52'!J72,'POSEBNI DIO 24-52'!J80:J92,'POSEBNI DIO 24-52'!J95:J96,'POSEBNI DIO 24-52'!J94,'POSEBNI DIO 24-52'!J99,)</f>
        <v>2888400</v>
      </c>
      <c r="G22" s="49">
        <f>SUM('POSEBNI DIO 24-52'!K54,'POSEBNI DIO 24-52'!K72,'POSEBNI DIO 24-52'!K80:K92,'POSEBNI DIO 24-52'!K95:K96,'POSEBNI DIO 24-52'!K94,'POSEBNI DIO 24-52'!K99,)</f>
        <v>3731.31</v>
      </c>
      <c r="H22" s="49">
        <f>SUM('POSEBNI DIO 24-52'!L54,'POSEBNI DIO 24-52'!L72,'POSEBNI DIO 24-52'!L80:L92,'POSEBNI DIO 24-52'!L95:L96,'POSEBNI DIO 24-52'!L94,'POSEBNI DIO 24-52'!L99,)</f>
        <v>0</v>
      </c>
      <c r="I22" s="49">
        <f>SUM('POSEBNI DIO 24-52'!M54,'POSEBNI DIO 24-52'!M72,'POSEBNI DIO 24-52'!M80:M92,'POSEBNI DIO 24-52'!M95:M96,'POSEBNI DIO 24-52'!M94,'POSEBNI DIO 24-52'!M99,)</f>
        <v>0</v>
      </c>
      <c r="J22" s="49">
        <f>SUM('POSEBNI DIO 24-52'!N54,'POSEBNI DIO 24-52'!N72,'POSEBNI DIO 24-52'!N80:N92,'POSEBNI DIO 24-52'!N95:N96,'POSEBNI DIO 24-52'!N94,'POSEBNI DIO 24-52'!N99,)</f>
        <v>3731.31</v>
      </c>
      <c r="K22" s="49">
        <f>SUM('POSEBNI DIO 24-52'!O54,'POSEBNI DIO 24-52'!O72,'POSEBNI DIO 24-52'!O80:O92,'POSEBNI DIO 24-52'!O95:O96,'POSEBNI DIO 24-52'!O94,'POSEBNI DIO 24-52'!O99,)</f>
        <v>2881131.31</v>
      </c>
      <c r="L22" s="49">
        <f>SUM('POSEBNI DIO 24-52'!P54,'POSEBNI DIO 24-52'!P72,'POSEBNI DIO 24-52'!P80:P92,'POSEBNI DIO 24-52'!P95:P96,'POSEBNI DIO 24-52'!P94,'POSEBNI DIO 24-52'!P99,)</f>
        <v>2892131.31</v>
      </c>
    </row>
    <row r="23" spans="1:12" ht="24.75" customHeight="1">
      <c r="A23" s="45">
        <v>112</v>
      </c>
      <c r="B23" s="58" t="s">
        <v>550</v>
      </c>
      <c r="C23" s="49">
        <f>SUM('POSEBNI DIO 24-52'!G135:G145,'POSEBNI DIO 24-52'!G148,)</f>
        <v>1093173.92</v>
      </c>
      <c r="D23" s="49">
        <f>SUM('POSEBNI DIO 24-52'!H135:H145,'POSEBNI DIO 24-52'!H148,)</f>
        <v>0</v>
      </c>
      <c r="E23" s="49">
        <f>SUM('POSEBNI DIO 24-52'!I135:I145,'POSEBNI DIO 24-52'!I148,)</f>
        <v>11000</v>
      </c>
      <c r="F23" s="49">
        <f>SUM('POSEBNI DIO 24-52'!J135:J145,'POSEBNI DIO 24-52'!J148,)</f>
        <v>1082173.92</v>
      </c>
      <c r="G23" s="49">
        <f>SUM('POSEBNI DIO 24-52'!K135:K145,'POSEBNI DIO 24-52'!K148,)</f>
        <v>0</v>
      </c>
      <c r="H23" s="49">
        <f>SUM('POSEBNI DIO 24-52'!L135:L145,'POSEBNI DIO 24-52'!L148,)</f>
        <v>0</v>
      </c>
      <c r="I23" s="49">
        <f>SUM('POSEBNI DIO 24-52'!M135:M145,'POSEBNI DIO 24-52'!M148,)</f>
        <v>0</v>
      </c>
      <c r="J23" s="49">
        <f>SUM('POSEBNI DIO 24-52'!N135:N145,'POSEBNI DIO 24-52'!N148,)</f>
        <v>0</v>
      </c>
      <c r="K23" s="49">
        <f>SUM('POSEBNI DIO 24-52'!O135:O145,'POSEBNI DIO 24-52'!O148,)</f>
        <v>1093173.92</v>
      </c>
      <c r="L23" s="49">
        <f>SUM('POSEBNI DIO 24-52'!P135:P145,'POSEBNI DIO 24-52'!P148,)</f>
        <v>1082173.92</v>
      </c>
    </row>
    <row r="24" spans="1:12" ht="24.75" customHeight="1">
      <c r="A24" s="45">
        <v>122</v>
      </c>
      <c r="B24" s="58" t="s">
        <v>566</v>
      </c>
      <c r="C24" s="49">
        <f>SUM('POSEBNI DIO 24-52'!G128,)</f>
        <v>2300</v>
      </c>
      <c r="D24" s="49">
        <f>SUM('POSEBNI DIO 24-52'!H128,)</f>
        <v>0</v>
      </c>
      <c r="E24" s="49">
        <f>SUM('POSEBNI DIO 24-52'!I128,)</f>
        <v>0</v>
      </c>
      <c r="F24" s="49">
        <f>SUM('POSEBNI DIO 24-52'!J128,)</f>
        <v>2300</v>
      </c>
      <c r="G24" s="49">
        <f>SUM('POSEBNI DIO 24-52'!K128,)</f>
        <v>215600</v>
      </c>
      <c r="H24" s="49">
        <f>SUM('POSEBNI DIO 24-52'!L128,)</f>
        <v>0</v>
      </c>
      <c r="I24" s="49">
        <f>SUM('POSEBNI DIO 24-52'!M128,)</f>
        <v>0</v>
      </c>
      <c r="J24" s="49">
        <f>SUM('POSEBNI DIO 24-52'!N128,)</f>
        <v>215600</v>
      </c>
      <c r="K24" s="49">
        <f>SUM('POSEBNI DIO 24-52'!O128,)</f>
        <v>217900</v>
      </c>
      <c r="L24" s="49">
        <f>SUM('POSEBNI DIO 24-52'!P128,)</f>
        <v>217900</v>
      </c>
    </row>
    <row r="25" spans="1:12" ht="24.75" customHeight="1">
      <c r="A25" s="45">
        <v>133</v>
      </c>
      <c r="B25" s="58" t="s">
        <v>555</v>
      </c>
      <c r="C25" s="49">
        <f>SUM('POSEBNI DIO 24-52'!G146,'POSEBNI DIO 24-52'!G110,)</f>
        <v>299000</v>
      </c>
      <c r="D25" s="49">
        <f>SUM('POSEBNI DIO 24-52'!H146,'POSEBNI DIO 24-52'!H110,)</f>
        <v>0</v>
      </c>
      <c r="E25" s="49">
        <f>SUM('POSEBNI DIO 24-52'!I146,'POSEBNI DIO 24-52'!I110,)</f>
        <v>0</v>
      </c>
      <c r="F25" s="49">
        <f>SUM('POSEBNI DIO 24-52'!J146,'POSEBNI DIO 24-52'!J110,)</f>
        <v>299000</v>
      </c>
      <c r="G25" s="49">
        <f>SUM('POSEBNI DIO 24-52'!K146,'POSEBNI DIO 24-52'!K110,)</f>
        <v>0</v>
      </c>
      <c r="H25" s="49">
        <f>SUM('POSEBNI DIO 24-52'!L146,'POSEBNI DIO 24-52'!L110,)</f>
        <v>0</v>
      </c>
      <c r="I25" s="49">
        <f>SUM('POSEBNI DIO 24-52'!M146,'POSEBNI DIO 24-52'!M110,)</f>
        <v>0</v>
      </c>
      <c r="J25" s="49">
        <f>SUM('POSEBNI DIO 24-52'!N146,'POSEBNI DIO 24-52'!N110,)</f>
        <v>0</v>
      </c>
      <c r="K25" s="49">
        <f>SUM('POSEBNI DIO 24-52'!O146,'POSEBNI DIO 24-52'!O110,)</f>
        <v>299000</v>
      </c>
      <c r="L25" s="49">
        <f>SUM('POSEBNI DIO 24-52'!P146,'POSEBNI DIO 24-52'!P110,)</f>
        <v>299000</v>
      </c>
    </row>
    <row r="26" spans="1:12" ht="25.5" customHeight="1">
      <c r="A26" s="45">
        <v>161</v>
      </c>
      <c r="B26" s="48" t="s">
        <v>551</v>
      </c>
      <c r="C26" s="49">
        <f>SUM('POSEBNI DIO 24-52'!G511,'POSEBNI DIO 24-52'!G598,'POSEBNI DIO 24-52'!G664,'POSEBNI DIO 24-52'!G833,'POSEBNI DIO 24-52'!G898,'POSEBNI DIO 24-52'!G611,'POSEBNI DIO 24-52'!G626:G632,'POSEBNI DIO 24-52'!G634:G637,'POSEBNI DIO 24-52'!G618,)</f>
        <v>7297118.41</v>
      </c>
      <c r="D26" s="49">
        <f>SUM('POSEBNI DIO 24-52'!H511,'POSEBNI DIO 24-52'!H598,'POSEBNI DIO 24-52'!H664,'POSEBNI DIO 24-52'!H833,'POSEBNI DIO 24-52'!H898,'POSEBNI DIO 24-52'!H611,'POSEBNI DIO 24-52'!H626:H632,'POSEBNI DIO 24-52'!H634:H637,'POSEBNI DIO 24-52'!H618,)</f>
        <v>0</v>
      </c>
      <c r="E26" s="49">
        <f>SUM('POSEBNI DIO 24-52'!I511,'POSEBNI DIO 24-52'!I598,'POSEBNI DIO 24-52'!I664,'POSEBNI DIO 24-52'!I833,'POSEBNI DIO 24-52'!I898,'POSEBNI DIO 24-52'!I611,'POSEBNI DIO 24-52'!I626:I632,'POSEBNI DIO 24-52'!I634:I637,'POSEBNI DIO 24-52'!I618,)</f>
        <v>147200</v>
      </c>
      <c r="F26" s="49">
        <f>SUM('POSEBNI DIO 24-52'!J511,'POSEBNI DIO 24-52'!J598,'POSEBNI DIO 24-52'!J664,'POSEBNI DIO 24-52'!J833,'POSEBNI DIO 24-52'!J898,'POSEBNI DIO 24-52'!J611,'POSEBNI DIO 24-52'!J626:J632,'POSEBNI DIO 24-52'!J634:J637,'POSEBNI DIO 24-52'!J618,)</f>
        <v>7149918.41</v>
      </c>
      <c r="G26" s="49">
        <f>SUM('POSEBNI DIO 24-52'!K511,'POSEBNI DIO 24-52'!K598,'POSEBNI DIO 24-52'!K664,'POSEBNI DIO 24-52'!K833,'POSEBNI DIO 24-52'!K898,'POSEBNI DIO 24-52'!K611,'POSEBNI DIO 24-52'!K626:K632,'POSEBNI DIO 24-52'!K634:K637,'POSEBNI DIO 24-52'!K618,)</f>
        <v>11556</v>
      </c>
      <c r="H26" s="49">
        <f>SUM('POSEBNI DIO 24-52'!L511,'POSEBNI DIO 24-52'!L598,'POSEBNI DIO 24-52'!L664,'POSEBNI DIO 24-52'!L833,'POSEBNI DIO 24-52'!L898,'POSEBNI DIO 24-52'!L611,'POSEBNI DIO 24-52'!L626:L632,'POSEBNI DIO 24-52'!L634:L637,'POSEBNI DIO 24-52'!L618,)</f>
        <v>0</v>
      </c>
      <c r="I26" s="49">
        <f>SUM('POSEBNI DIO 24-52'!M511,'POSEBNI DIO 24-52'!M598,'POSEBNI DIO 24-52'!M664,'POSEBNI DIO 24-52'!M833,'POSEBNI DIO 24-52'!M898,'POSEBNI DIO 24-52'!M611,'POSEBNI DIO 24-52'!M626:M632,'POSEBNI DIO 24-52'!M634:M637,'POSEBNI DIO 24-52'!M618,)</f>
        <v>0</v>
      </c>
      <c r="J26" s="49">
        <f>SUM('POSEBNI DIO 24-52'!N511,'POSEBNI DIO 24-52'!N598,'POSEBNI DIO 24-52'!N664,'POSEBNI DIO 24-52'!N833,'POSEBNI DIO 24-52'!N898,'POSEBNI DIO 24-52'!N611,'POSEBNI DIO 24-52'!N626:N632,'POSEBNI DIO 24-52'!N634:N637,'POSEBNI DIO 24-52'!N618,)</f>
        <v>11556</v>
      </c>
      <c r="K26" s="49">
        <f>SUM('POSEBNI DIO 24-52'!O511,'POSEBNI DIO 24-52'!O598,'POSEBNI DIO 24-52'!O664,'POSEBNI DIO 24-52'!O833,'POSEBNI DIO 24-52'!O898,'POSEBNI DIO 24-52'!O611,'POSEBNI DIO 24-52'!O626:O632,'POSEBNI DIO 24-52'!O634:O637,'POSEBNI DIO 24-52'!O618,)</f>
        <v>7308674.41</v>
      </c>
      <c r="L26" s="49">
        <f>SUM('POSEBNI DIO 24-52'!P511,'POSEBNI DIO 24-52'!P598,'POSEBNI DIO 24-52'!P664,'POSEBNI DIO 24-52'!P833,'POSEBNI DIO 24-52'!P898,'POSEBNI DIO 24-52'!P611,'POSEBNI DIO 24-52'!P626:P632,'POSEBNI DIO 24-52'!P634:P637,'POSEBNI DIO 24-52'!P618,)</f>
        <v>7161474.41</v>
      </c>
    </row>
    <row r="27" spans="1:12" ht="25.5" customHeight="1">
      <c r="A27" s="45">
        <v>171</v>
      </c>
      <c r="B27" s="58" t="s">
        <v>255</v>
      </c>
      <c r="C27" s="49">
        <f>SUM('POSEBNI DIO 24-52'!G458,'POSEBNI DIO 24-52'!G483:G484,'POSEBNI DIO 24-52'!G437,'POSEBNI DIO 24-52'!G429,'POSEBNI DIO 24-52'!G485,)</f>
        <v>3757000</v>
      </c>
      <c r="D27" s="49">
        <f>SUM('POSEBNI DIO 24-52'!H458,'POSEBNI DIO 24-52'!H483:H484,'POSEBNI DIO 24-52'!H437,'POSEBNI DIO 24-52'!H429,'POSEBNI DIO 24-52'!H485,)</f>
        <v>0</v>
      </c>
      <c r="E27" s="49">
        <f>SUM('POSEBNI DIO 24-52'!I458,'POSEBNI DIO 24-52'!I483:I484,'POSEBNI DIO 24-52'!I437,'POSEBNI DIO 24-52'!I429,'POSEBNI DIO 24-52'!I485,)</f>
        <v>0</v>
      </c>
      <c r="F27" s="49">
        <f>SUM('POSEBNI DIO 24-52'!J458,'POSEBNI DIO 24-52'!J483:J484,'POSEBNI DIO 24-52'!J437,'POSEBNI DIO 24-52'!J429,'POSEBNI DIO 24-52'!J485,)</f>
        <v>3757000</v>
      </c>
      <c r="G27" s="49">
        <f>SUM('POSEBNI DIO 24-52'!K458,'POSEBNI DIO 24-52'!K483:K484,'POSEBNI DIO 24-52'!K437,'POSEBNI DIO 24-52'!K429,'POSEBNI DIO 24-52'!K485,)</f>
        <v>0</v>
      </c>
      <c r="H27" s="49">
        <f>SUM('POSEBNI DIO 24-52'!L458,'POSEBNI DIO 24-52'!L483:L484,'POSEBNI DIO 24-52'!L437,'POSEBNI DIO 24-52'!L429,'POSEBNI DIO 24-52'!L485,)</f>
        <v>0</v>
      </c>
      <c r="I27" s="49">
        <f>SUM('POSEBNI DIO 24-52'!M458,'POSEBNI DIO 24-52'!M483:M484,'POSEBNI DIO 24-52'!M437,'POSEBNI DIO 24-52'!M429,'POSEBNI DIO 24-52'!M485,)</f>
        <v>0</v>
      </c>
      <c r="J27" s="49">
        <f>SUM('POSEBNI DIO 24-52'!N458,'POSEBNI DIO 24-52'!N483:N484,'POSEBNI DIO 24-52'!N437,'POSEBNI DIO 24-52'!N429,'POSEBNI DIO 24-52'!N485,)</f>
        <v>0</v>
      </c>
      <c r="K27" s="49">
        <f>SUM('POSEBNI DIO 24-52'!O458,'POSEBNI DIO 24-52'!O483:O484,'POSEBNI DIO 24-52'!O437,'POSEBNI DIO 24-52'!O429,'POSEBNI DIO 24-52'!O485,)</f>
        <v>3757000</v>
      </c>
      <c r="L27" s="49">
        <f>SUM('POSEBNI DIO 24-52'!P458,'POSEBNI DIO 24-52'!P483:P484,'POSEBNI DIO 24-52'!P437,'POSEBNI DIO 24-52'!P429,'POSEBNI DIO 24-52'!P485,)</f>
        <v>3757000</v>
      </c>
    </row>
    <row r="28" spans="1:12" ht="24.75" customHeight="1">
      <c r="A28" s="56">
        <v>200</v>
      </c>
      <c r="B28" s="57" t="s">
        <v>556</v>
      </c>
      <c r="C28" s="47">
        <f aca="true" t="shared" si="13" ref="C28:L28">SUM(C29,C30,)</f>
        <v>6209537.600000001</v>
      </c>
      <c r="D28" s="47">
        <f t="shared" si="13"/>
        <v>30000</v>
      </c>
      <c r="E28" s="47">
        <f t="shared" si="13"/>
        <v>30000</v>
      </c>
      <c r="F28" s="47">
        <f t="shared" si="13"/>
        <v>6209537.600000001</v>
      </c>
      <c r="G28" s="47">
        <f t="shared" si="13"/>
        <v>279572.79</v>
      </c>
      <c r="H28" s="47">
        <f t="shared" si="13"/>
        <v>0</v>
      </c>
      <c r="I28" s="47">
        <f t="shared" si="13"/>
        <v>0</v>
      </c>
      <c r="J28" s="47">
        <f t="shared" si="13"/>
        <v>279572.79</v>
      </c>
      <c r="K28" s="47">
        <f t="shared" si="13"/>
        <v>6489110.390000001</v>
      </c>
      <c r="L28" s="47">
        <f t="shared" si="13"/>
        <v>6489110.390000001</v>
      </c>
    </row>
    <row r="29" spans="1:12" ht="25.5" customHeight="1">
      <c r="A29" s="45">
        <v>221</v>
      </c>
      <c r="B29" s="48" t="s">
        <v>557</v>
      </c>
      <c r="C29" s="49">
        <f>SUM('POSEBNI DIO 24-52'!G732:G735,'POSEBNI DIO 24-52'!G738:G739,'POSEBNI DIO 24-52'!G741,'POSEBNI DIO 24-52'!G746,'POSEBNI DIO 24-52'!G798,'POSEBNI DIO 24-52'!G737,'POSEBNI DIO 24-52'!G750,'POSEBNI DIO 24-52'!G745,'POSEBNI DIO 24-52'!G799,'POSEBNI DIO 24-52'!G747,'POSEBNI DIO 24-52'!G754,'POSEBNI DIO 24-52'!G744,)</f>
        <v>3054576</v>
      </c>
      <c r="D29" s="49">
        <f>SUM('POSEBNI DIO 24-52'!H732:H735,'POSEBNI DIO 24-52'!H738:H739,'POSEBNI DIO 24-52'!H741,'POSEBNI DIO 24-52'!H746,'POSEBNI DIO 24-52'!H798,'POSEBNI DIO 24-52'!H737,'POSEBNI DIO 24-52'!H750,'POSEBNI DIO 24-52'!H745,'POSEBNI DIO 24-52'!H799,'POSEBNI DIO 24-52'!H747,'POSEBNI DIO 24-52'!H754,'POSEBNI DIO 24-52'!H744,)</f>
        <v>0</v>
      </c>
      <c r="E29" s="49">
        <f>SUM('POSEBNI DIO 24-52'!I732:I735,'POSEBNI DIO 24-52'!I738:I739,'POSEBNI DIO 24-52'!I741,'POSEBNI DIO 24-52'!I746,'POSEBNI DIO 24-52'!I798,'POSEBNI DIO 24-52'!I737,'POSEBNI DIO 24-52'!I750,'POSEBNI DIO 24-52'!I745,'POSEBNI DIO 24-52'!I799,'POSEBNI DIO 24-52'!I747,'POSEBNI DIO 24-52'!I754,'POSEBNI DIO 24-52'!I744,)</f>
        <v>0</v>
      </c>
      <c r="F29" s="49">
        <f>SUM('POSEBNI DIO 24-52'!J732:J735,'POSEBNI DIO 24-52'!J738:J739,'POSEBNI DIO 24-52'!J741,'POSEBNI DIO 24-52'!J746,'POSEBNI DIO 24-52'!J798,'POSEBNI DIO 24-52'!J737,'POSEBNI DIO 24-52'!J750,'POSEBNI DIO 24-52'!J745,'POSEBNI DIO 24-52'!J799,'POSEBNI DIO 24-52'!J747,'POSEBNI DIO 24-52'!J754,'POSEBNI DIO 24-52'!J744,)</f>
        <v>3054576</v>
      </c>
      <c r="G29" s="49">
        <f>SUM('POSEBNI DIO 24-52'!K732:K735,'POSEBNI DIO 24-52'!K738:K739,'POSEBNI DIO 24-52'!K741,'POSEBNI DIO 24-52'!K746,'POSEBNI DIO 24-52'!K798,'POSEBNI DIO 24-52'!K737,'POSEBNI DIO 24-52'!K750,'POSEBNI DIO 24-52'!K745,'POSEBNI DIO 24-52'!K799,'POSEBNI DIO 24-52'!K747,'POSEBNI DIO 24-52'!K754,'POSEBNI DIO 24-52'!K744,)</f>
        <v>54572.79</v>
      </c>
      <c r="H29" s="49">
        <f>SUM('POSEBNI DIO 24-52'!L732:L735,'POSEBNI DIO 24-52'!L738:L739,'POSEBNI DIO 24-52'!L741,'POSEBNI DIO 24-52'!L746,'POSEBNI DIO 24-52'!L798,'POSEBNI DIO 24-52'!L737,'POSEBNI DIO 24-52'!L750,'POSEBNI DIO 24-52'!L745,'POSEBNI DIO 24-52'!L799,'POSEBNI DIO 24-52'!L747,'POSEBNI DIO 24-52'!L754,'POSEBNI DIO 24-52'!L744,)</f>
        <v>0</v>
      </c>
      <c r="I29" s="49">
        <f>SUM('POSEBNI DIO 24-52'!M732:M735,'POSEBNI DIO 24-52'!M738:M739,'POSEBNI DIO 24-52'!M741,'POSEBNI DIO 24-52'!M746,'POSEBNI DIO 24-52'!M798,'POSEBNI DIO 24-52'!M737,'POSEBNI DIO 24-52'!M750,'POSEBNI DIO 24-52'!M745,'POSEBNI DIO 24-52'!M799,'POSEBNI DIO 24-52'!M747,'POSEBNI DIO 24-52'!M754,'POSEBNI DIO 24-52'!M744,)</f>
        <v>0</v>
      </c>
      <c r="J29" s="49">
        <f>SUM('POSEBNI DIO 24-52'!N732:N735,'POSEBNI DIO 24-52'!N738:N739,'POSEBNI DIO 24-52'!N741,'POSEBNI DIO 24-52'!N746,'POSEBNI DIO 24-52'!N798,'POSEBNI DIO 24-52'!N737,'POSEBNI DIO 24-52'!N750,'POSEBNI DIO 24-52'!N745,'POSEBNI DIO 24-52'!N799,'POSEBNI DIO 24-52'!N747,'POSEBNI DIO 24-52'!N754,'POSEBNI DIO 24-52'!N744,)</f>
        <v>54572.79</v>
      </c>
      <c r="K29" s="49">
        <f>SUM('POSEBNI DIO 24-52'!O732:O735,'POSEBNI DIO 24-52'!O738:O739,'POSEBNI DIO 24-52'!O741,'POSEBNI DIO 24-52'!O746,'POSEBNI DIO 24-52'!O798,'POSEBNI DIO 24-52'!O737,'POSEBNI DIO 24-52'!O750,'POSEBNI DIO 24-52'!O745,'POSEBNI DIO 24-52'!O799,'POSEBNI DIO 24-52'!O747,'POSEBNI DIO 24-52'!O754,'POSEBNI DIO 24-52'!O744,)</f>
        <v>3109148.79</v>
      </c>
      <c r="L29" s="49">
        <f>SUM('POSEBNI DIO 24-52'!P732:P735,'POSEBNI DIO 24-52'!P738:P739,'POSEBNI DIO 24-52'!P741,'POSEBNI DIO 24-52'!P746,'POSEBNI DIO 24-52'!P798,'POSEBNI DIO 24-52'!P737,'POSEBNI DIO 24-52'!P750,'POSEBNI DIO 24-52'!P745,'POSEBNI DIO 24-52'!P799,'POSEBNI DIO 24-52'!P747,'POSEBNI DIO 24-52'!P754,'POSEBNI DIO 24-52'!P744,)</f>
        <v>3109148.79</v>
      </c>
    </row>
    <row r="30" spans="1:12" ht="25.5" customHeight="1">
      <c r="A30" s="45">
        <v>251</v>
      </c>
      <c r="B30" s="48" t="s">
        <v>559</v>
      </c>
      <c r="C30" s="49">
        <f>SUM('POSEBNI DIO 24-52'!G792,'POSEBNI DIO 24-52'!G769,'POSEBNI DIO 24-52'!G748,'POSEBNI DIO 24-52'!G752,'POSEBNI DIO 24-52'!G743,)</f>
        <v>3154961.6000000006</v>
      </c>
      <c r="D30" s="49">
        <f>SUM('POSEBNI DIO 24-52'!H792,'POSEBNI DIO 24-52'!H769,'POSEBNI DIO 24-52'!H748,'POSEBNI DIO 24-52'!H752,'POSEBNI DIO 24-52'!H743,)</f>
        <v>30000</v>
      </c>
      <c r="E30" s="49">
        <f>SUM('POSEBNI DIO 24-52'!I792,'POSEBNI DIO 24-52'!I769,'POSEBNI DIO 24-52'!I748,'POSEBNI DIO 24-52'!I752,'POSEBNI DIO 24-52'!I743,)</f>
        <v>30000</v>
      </c>
      <c r="F30" s="49">
        <f>SUM('POSEBNI DIO 24-52'!J792,'POSEBNI DIO 24-52'!J769,'POSEBNI DIO 24-52'!J748,'POSEBNI DIO 24-52'!J752,'POSEBNI DIO 24-52'!J743,)</f>
        <v>3154961.6000000006</v>
      </c>
      <c r="G30" s="49">
        <f>SUM('POSEBNI DIO 24-52'!K792,'POSEBNI DIO 24-52'!K769,'POSEBNI DIO 24-52'!K748,'POSEBNI DIO 24-52'!K752,'POSEBNI DIO 24-52'!K743,)</f>
        <v>225000</v>
      </c>
      <c r="H30" s="49">
        <f>SUM('POSEBNI DIO 24-52'!L792,'POSEBNI DIO 24-52'!L769,'POSEBNI DIO 24-52'!L748,'POSEBNI DIO 24-52'!L752,'POSEBNI DIO 24-52'!L743,)</f>
        <v>0</v>
      </c>
      <c r="I30" s="49">
        <f>SUM('POSEBNI DIO 24-52'!M792,'POSEBNI DIO 24-52'!M769,'POSEBNI DIO 24-52'!M748,'POSEBNI DIO 24-52'!M752,'POSEBNI DIO 24-52'!M743,)</f>
        <v>0</v>
      </c>
      <c r="J30" s="49">
        <f>SUM('POSEBNI DIO 24-52'!N792,'POSEBNI DIO 24-52'!N769,'POSEBNI DIO 24-52'!N748,'POSEBNI DIO 24-52'!N752,'POSEBNI DIO 24-52'!N743,)</f>
        <v>225000</v>
      </c>
      <c r="K30" s="49">
        <f>SUM('POSEBNI DIO 24-52'!O792,'POSEBNI DIO 24-52'!O769,'POSEBNI DIO 24-52'!O748,'POSEBNI DIO 24-52'!O752,'POSEBNI DIO 24-52'!O743,)</f>
        <v>3379961.6000000006</v>
      </c>
      <c r="L30" s="49">
        <f>SUM('POSEBNI DIO 24-52'!P792,'POSEBNI DIO 24-52'!P769,'POSEBNI DIO 24-52'!P748,'POSEBNI DIO 24-52'!P752,'POSEBNI DIO 24-52'!P743,)</f>
        <v>3379961.6000000006</v>
      </c>
    </row>
    <row r="31" spans="1:12" ht="24" customHeight="1">
      <c r="A31" s="56">
        <v>300</v>
      </c>
      <c r="B31" s="57" t="s">
        <v>558</v>
      </c>
      <c r="C31" s="47">
        <f aca="true" t="shared" si="14" ref="C31:L31">SUM(C32:C34)</f>
        <v>1100237.32</v>
      </c>
      <c r="D31" s="47">
        <f t="shared" si="14"/>
        <v>36000</v>
      </c>
      <c r="E31" s="47">
        <f t="shared" si="14"/>
        <v>51000</v>
      </c>
      <c r="F31" s="47">
        <f t="shared" si="14"/>
        <v>1085237.32</v>
      </c>
      <c r="G31" s="47">
        <f t="shared" si="14"/>
        <v>17084.7</v>
      </c>
      <c r="H31" s="47">
        <f t="shared" si="14"/>
        <v>0</v>
      </c>
      <c r="I31" s="47">
        <f t="shared" si="14"/>
        <v>7850</v>
      </c>
      <c r="J31" s="47">
        <f t="shared" si="14"/>
        <v>9234.7</v>
      </c>
      <c r="K31" s="47">
        <f t="shared" si="14"/>
        <v>1117322.02</v>
      </c>
      <c r="L31" s="47">
        <f t="shared" si="14"/>
        <v>1094472.02</v>
      </c>
    </row>
    <row r="32" spans="1:12" ht="25.5" customHeight="1">
      <c r="A32" s="45">
        <v>321</v>
      </c>
      <c r="B32" s="48" t="s">
        <v>560</v>
      </c>
      <c r="C32" s="49">
        <f>SUM('POSEBNI DIO 24-52'!G736,'POSEBNI DIO 24-52'!G740,'POSEBNI DIO 24-52'!G749,'POSEBNI DIO 24-52'!G756,'POSEBNI DIO 24-52'!G753,'POSEBNI DIO 24-52'!G757,'POSEBNI DIO 24-52'!G814,)</f>
        <v>180837.32</v>
      </c>
      <c r="D32" s="49">
        <f>SUM('POSEBNI DIO 24-52'!H736,'POSEBNI DIO 24-52'!H740,'POSEBNI DIO 24-52'!H749,'POSEBNI DIO 24-52'!H756,'POSEBNI DIO 24-52'!H753,'POSEBNI DIO 24-52'!H757,'POSEBNI DIO 24-52'!H814,)</f>
        <v>36000</v>
      </c>
      <c r="E32" s="49">
        <f>SUM('POSEBNI DIO 24-52'!I736,'POSEBNI DIO 24-52'!I740,'POSEBNI DIO 24-52'!I749,'POSEBNI DIO 24-52'!I756,'POSEBNI DIO 24-52'!I753,'POSEBNI DIO 24-52'!I757,'POSEBNI DIO 24-52'!I814,)</f>
        <v>7000</v>
      </c>
      <c r="F32" s="49">
        <f>SUM('POSEBNI DIO 24-52'!J736,'POSEBNI DIO 24-52'!J740,'POSEBNI DIO 24-52'!J749,'POSEBNI DIO 24-52'!J756,'POSEBNI DIO 24-52'!J753,'POSEBNI DIO 24-52'!J757,'POSEBNI DIO 24-52'!J814,)</f>
        <v>209837.32</v>
      </c>
      <c r="G32" s="49">
        <f>SUM('POSEBNI DIO 24-52'!K736,'POSEBNI DIO 24-52'!K740,'POSEBNI DIO 24-52'!K749,'POSEBNI DIO 24-52'!K756,'POSEBNI DIO 24-52'!K753,'POSEBNI DIO 24-52'!K757,'POSEBNI DIO 24-52'!K814,)</f>
        <v>17084.7</v>
      </c>
      <c r="H32" s="49">
        <f>SUM('POSEBNI DIO 24-52'!L736,'POSEBNI DIO 24-52'!L740,'POSEBNI DIO 24-52'!L749,'POSEBNI DIO 24-52'!L756,'POSEBNI DIO 24-52'!L753,'POSEBNI DIO 24-52'!L757,'POSEBNI DIO 24-52'!L814,)</f>
        <v>0</v>
      </c>
      <c r="I32" s="49">
        <f>SUM('POSEBNI DIO 24-52'!M736,'POSEBNI DIO 24-52'!M740,'POSEBNI DIO 24-52'!M749,'POSEBNI DIO 24-52'!M756,'POSEBNI DIO 24-52'!M753,'POSEBNI DIO 24-52'!M757,'POSEBNI DIO 24-52'!M814,)</f>
        <v>7850</v>
      </c>
      <c r="J32" s="49">
        <f>SUM('POSEBNI DIO 24-52'!N736,'POSEBNI DIO 24-52'!N740,'POSEBNI DIO 24-52'!N749,'POSEBNI DIO 24-52'!N756,'POSEBNI DIO 24-52'!N753,'POSEBNI DIO 24-52'!N757,'POSEBNI DIO 24-52'!N814,)</f>
        <v>9234.7</v>
      </c>
      <c r="K32" s="49">
        <f>SUM('POSEBNI DIO 24-52'!O736,'POSEBNI DIO 24-52'!O740,'POSEBNI DIO 24-52'!O749,'POSEBNI DIO 24-52'!O756,'POSEBNI DIO 24-52'!O753,'POSEBNI DIO 24-52'!O757,'POSEBNI DIO 24-52'!O814,)</f>
        <v>197922.02</v>
      </c>
      <c r="L32" s="49">
        <f>SUM('POSEBNI DIO 24-52'!P736,'POSEBNI DIO 24-52'!P740,'POSEBNI DIO 24-52'!P749,'POSEBNI DIO 24-52'!P756,'POSEBNI DIO 24-52'!P753,'POSEBNI DIO 24-52'!P757,'POSEBNI DIO 24-52'!P814,)</f>
        <v>219072.02</v>
      </c>
    </row>
    <row r="33" spans="1:12" ht="25.5" customHeight="1">
      <c r="A33" s="50">
        <v>331</v>
      </c>
      <c r="B33" s="59" t="s">
        <v>440</v>
      </c>
      <c r="C33" s="49">
        <f>SUM('POSEBNI DIO 24-52'!G842:G854)</f>
        <v>769400</v>
      </c>
      <c r="D33" s="49">
        <f>SUM('POSEBNI DIO 24-52'!H842:H854)</f>
        <v>0</v>
      </c>
      <c r="E33" s="49">
        <f>SUM('POSEBNI DIO 24-52'!I842:I854)</f>
        <v>44000</v>
      </c>
      <c r="F33" s="49">
        <f>SUM('POSEBNI DIO 24-52'!J842:J854)</f>
        <v>725400</v>
      </c>
      <c r="G33" s="49">
        <f>SUM('POSEBNI DIO 24-52'!K842:K854)</f>
        <v>0</v>
      </c>
      <c r="H33" s="49">
        <f>SUM('POSEBNI DIO 24-52'!L842:L854)</f>
        <v>0</v>
      </c>
      <c r="I33" s="49">
        <f>SUM('POSEBNI DIO 24-52'!M842:M854)</f>
        <v>0</v>
      </c>
      <c r="J33" s="49">
        <f>SUM('POSEBNI DIO 24-52'!N842:N854)</f>
        <v>0</v>
      </c>
      <c r="K33" s="49">
        <f>SUM('POSEBNI DIO 24-52'!O842:O854)</f>
        <v>769400</v>
      </c>
      <c r="L33" s="49">
        <f>SUM('POSEBNI DIO 24-52'!P842:P854)</f>
        <v>725400</v>
      </c>
    </row>
    <row r="34" spans="1:12" ht="25.5" customHeight="1">
      <c r="A34" s="50">
        <v>361</v>
      </c>
      <c r="B34" s="855" t="s">
        <v>1005</v>
      </c>
      <c r="C34" s="49">
        <f>SUM('POSEBNI DIO 24-52'!G633,'POSEBNI DIO 24-52'!G93,)</f>
        <v>150000</v>
      </c>
      <c r="D34" s="49">
        <f>SUM('POSEBNI DIO 24-52'!H633,'POSEBNI DIO 24-52'!H93,)</f>
        <v>0</v>
      </c>
      <c r="E34" s="49">
        <f>SUM('POSEBNI DIO 24-52'!I633,'POSEBNI DIO 24-52'!I93,)</f>
        <v>0</v>
      </c>
      <c r="F34" s="49">
        <f>SUM('POSEBNI DIO 24-52'!J633,'POSEBNI DIO 24-52'!J93,)</f>
        <v>150000</v>
      </c>
      <c r="G34" s="49">
        <f>SUM('POSEBNI DIO 24-52'!K633,'POSEBNI DIO 24-52'!K93,)</f>
        <v>0</v>
      </c>
      <c r="H34" s="49">
        <f>SUM('POSEBNI DIO 24-52'!L633,'POSEBNI DIO 24-52'!L93,)</f>
        <v>0</v>
      </c>
      <c r="I34" s="49">
        <f>SUM('POSEBNI DIO 24-52'!M633,'POSEBNI DIO 24-52'!M93,)</f>
        <v>0</v>
      </c>
      <c r="J34" s="49">
        <f>SUM('POSEBNI DIO 24-52'!N633,'POSEBNI DIO 24-52'!N93,)</f>
        <v>0</v>
      </c>
      <c r="K34" s="49">
        <f>SUM('POSEBNI DIO 24-52'!O633,'POSEBNI DIO 24-52'!O93,)</f>
        <v>150000</v>
      </c>
      <c r="L34" s="49">
        <f>SUM('POSEBNI DIO 24-52'!P633,'POSEBNI DIO 24-52'!P93,)</f>
        <v>150000</v>
      </c>
    </row>
    <row r="35" spans="1:12" ht="25.5" customHeight="1">
      <c r="A35" s="60">
        <v>400</v>
      </c>
      <c r="B35" s="61" t="s">
        <v>561</v>
      </c>
      <c r="C35" s="47">
        <f aca="true" t="shared" si="15" ref="C35:L35">SUM(C36:C39,)</f>
        <v>3280494.86</v>
      </c>
      <c r="D35" s="47">
        <f t="shared" si="15"/>
        <v>640000</v>
      </c>
      <c r="E35" s="47">
        <f t="shared" si="15"/>
        <v>81000</v>
      </c>
      <c r="F35" s="47">
        <f t="shared" si="15"/>
        <v>3839494.86</v>
      </c>
      <c r="G35" s="47">
        <f t="shared" si="15"/>
        <v>100000</v>
      </c>
      <c r="H35" s="47">
        <f t="shared" si="15"/>
        <v>0</v>
      </c>
      <c r="I35" s="47">
        <f t="shared" si="15"/>
        <v>0</v>
      </c>
      <c r="J35" s="47">
        <f t="shared" si="15"/>
        <v>100000</v>
      </c>
      <c r="K35" s="47">
        <f t="shared" si="15"/>
        <v>3380494.86</v>
      </c>
      <c r="L35" s="47">
        <f t="shared" si="15"/>
        <v>3939494.86</v>
      </c>
    </row>
    <row r="36" spans="1:12" ht="25.5" customHeight="1">
      <c r="A36" s="50">
        <v>421</v>
      </c>
      <c r="B36" s="59" t="s">
        <v>562</v>
      </c>
      <c r="C36" s="49">
        <f>SUM('POSEBNI DIO 24-52'!G178,'POSEBNI DIO 24-52'!G365,'POSEBNI DIO 24-52'!G369,'POSEBNI DIO 24-52'!G363,'POSEBNI DIO 24-52'!G367,)</f>
        <v>173000</v>
      </c>
      <c r="D36" s="49">
        <f>SUM('POSEBNI DIO 24-52'!H178,'POSEBNI DIO 24-52'!H365,'POSEBNI DIO 24-52'!H369,'POSEBNI DIO 24-52'!H363,'POSEBNI DIO 24-52'!H367,)</f>
        <v>60000</v>
      </c>
      <c r="E36" s="49">
        <f>SUM('POSEBNI DIO 24-52'!I178,'POSEBNI DIO 24-52'!I365,'POSEBNI DIO 24-52'!I369,'POSEBNI DIO 24-52'!I363,'POSEBNI DIO 24-52'!I367,)</f>
        <v>60000</v>
      </c>
      <c r="F36" s="49">
        <f>SUM('POSEBNI DIO 24-52'!J178,'POSEBNI DIO 24-52'!J365,'POSEBNI DIO 24-52'!J369,'POSEBNI DIO 24-52'!J363,'POSEBNI DIO 24-52'!J367,)</f>
        <v>173000</v>
      </c>
      <c r="G36" s="49">
        <f>SUM('POSEBNI DIO 24-52'!K178,'POSEBNI DIO 24-52'!K365,'POSEBNI DIO 24-52'!K369,'POSEBNI DIO 24-52'!K363,'POSEBNI DIO 24-52'!K367,)</f>
        <v>0</v>
      </c>
      <c r="H36" s="49">
        <f>SUM('POSEBNI DIO 24-52'!L178,'POSEBNI DIO 24-52'!L365,'POSEBNI DIO 24-52'!L369,'POSEBNI DIO 24-52'!L363,'POSEBNI DIO 24-52'!L367,)</f>
        <v>0</v>
      </c>
      <c r="I36" s="49">
        <f>SUM('POSEBNI DIO 24-52'!M178,'POSEBNI DIO 24-52'!M365,'POSEBNI DIO 24-52'!M369,'POSEBNI DIO 24-52'!M363,'POSEBNI DIO 24-52'!M367,)</f>
        <v>0</v>
      </c>
      <c r="J36" s="49">
        <f>SUM('POSEBNI DIO 24-52'!N178,'POSEBNI DIO 24-52'!N365,'POSEBNI DIO 24-52'!N369,'POSEBNI DIO 24-52'!N363,'POSEBNI DIO 24-52'!N367,)</f>
        <v>0</v>
      </c>
      <c r="K36" s="49">
        <f>SUM('POSEBNI DIO 24-52'!O178,'POSEBNI DIO 24-52'!O365,'POSEBNI DIO 24-52'!O369,'POSEBNI DIO 24-52'!O363,'POSEBNI DIO 24-52'!O367,)</f>
        <v>173000</v>
      </c>
      <c r="L36" s="49">
        <f>SUM('POSEBNI DIO 24-52'!P178,'POSEBNI DIO 24-52'!P365,'POSEBNI DIO 24-52'!P369,'POSEBNI DIO 24-52'!P363,'POSEBNI DIO 24-52'!P367,)</f>
        <v>173000</v>
      </c>
    </row>
    <row r="37" spans="1:12" ht="25.5" customHeight="1">
      <c r="A37" s="50">
        <v>443</v>
      </c>
      <c r="B37" s="59" t="s">
        <v>563</v>
      </c>
      <c r="C37" s="49">
        <f>SUM('POSEBNI DIO 24-52'!G564,'POSEBNI DIO 24-52'!G573:G575,'POSEBNI DIO 24-52'!G878,)</f>
        <v>1518211</v>
      </c>
      <c r="D37" s="49">
        <f>SUM('POSEBNI DIO 24-52'!H564,'POSEBNI DIO 24-52'!H573:H575,'POSEBNI DIO 24-52'!H878,)</f>
        <v>0</v>
      </c>
      <c r="E37" s="49">
        <f>SUM('POSEBNI DIO 24-52'!I564,'POSEBNI DIO 24-52'!I573:I575,'POSEBNI DIO 24-52'!I878,)</f>
        <v>11000</v>
      </c>
      <c r="F37" s="49">
        <f>SUM('POSEBNI DIO 24-52'!J564,'POSEBNI DIO 24-52'!J573:J575,'POSEBNI DIO 24-52'!J878,)</f>
        <v>1507211</v>
      </c>
      <c r="G37" s="49">
        <f>SUM('POSEBNI DIO 24-52'!K564,'POSEBNI DIO 24-52'!K573:K575,'POSEBNI DIO 24-52'!K878,)</f>
        <v>75000</v>
      </c>
      <c r="H37" s="49">
        <f>SUM('POSEBNI DIO 24-52'!L564,'POSEBNI DIO 24-52'!L573:L575,'POSEBNI DIO 24-52'!L878,)</f>
        <v>0</v>
      </c>
      <c r="I37" s="49">
        <f>SUM('POSEBNI DIO 24-52'!M564,'POSEBNI DIO 24-52'!M573:M575,'POSEBNI DIO 24-52'!M878,)</f>
        <v>0</v>
      </c>
      <c r="J37" s="49">
        <f>SUM('POSEBNI DIO 24-52'!N564,'POSEBNI DIO 24-52'!N573:N575,'POSEBNI DIO 24-52'!N878,)</f>
        <v>75000</v>
      </c>
      <c r="K37" s="49">
        <f>SUM('POSEBNI DIO 24-52'!O564,'POSEBNI DIO 24-52'!O573:O575,'POSEBNI DIO 24-52'!O878,)</f>
        <v>1593211</v>
      </c>
      <c r="L37" s="49">
        <f>SUM('POSEBNI DIO 24-52'!P564,'POSEBNI DIO 24-52'!P573:P575,'POSEBNI DIO 24-52'!P878,)</f>
        <v>1582211</v>
      </c>
    </row>
    <row r="38" spans="1:12" ht="25.5" customHeight="1">
      <c r="A38" s="50">
        <v>474</v>
      </c>
      <c r="B38" s="59" t="s">
        <v>564</v>
      </c>
      <c r="C38" s="49">
        <f>SUM('POSEBNI DIO 24-52'!G207,'POSEBNI DIO 24-52'!G210,'POSEBNI DIO 24-52'!G362,'POSEBNI DIO 24-52'!G201,'POSEBNI DIO 24-52'!G368,'POSEBNI DIO 24-52'!G195,'POSEBNI DIO 24-52'!G194,'POSEBNI DIO 24-52'!G366,'POSEBNI DIO 24-52'!G219,'POSEBNI DIO 24-52'!G212,'POSEBNI DIO 24-52'!G184,'POSEBNI DIO 24-52'!G187,'POSEBNI DIO 24-52'!G214,'POSEBNI DIO 24-52'!G935,'POSEBNI DIO 24-52'!G942,'POSEBNI DIO 24-52'!G947,'POSEBNI DIO 24-52'!G952:G953,'POSEBNI DIO 24-52'!G932,'POSEBNI DIO 24-52'!G213,'POSEBNI DIO 24-52'!G364,'POSEBNI DIO 24-52'!G215,'POSEBNI DIO 24-52'!G197,)</f>
        <v>852000</v>
      </c>
      <c r="D38" s="49">
        <f>SUM('POSEBNI DIO 24-52'!H207,'POSEBNI DIO 24-52'!H210,'POSEBNI DIO 24-52'!H362,'POSEBNI DIO 24-52'!H201,'POSEBNI DIO 24-52'!H368,'POSEBNI DIO 24-52'!H195,'POSEBNI DIO 24-52'!H194,'POSEBNI DIO 24-52'!H366,'POSEBNI DIO 24-52'!H219,'POSEBNI DIO 24-52'!H212,'POSEBNI DIO 24-52'!H184,'POSEBNI DIO 24-52'!H187,'POSEBNI DIO 24-52'!H214,'POSEBNI DIO 24-52'!H935,'POSEBNI DIO 24-52'!H942,'POSEBNI DIO 24-52'!H947,'POSEBNI DIO 24-52'!H952:H953,'POSEBNI DIO 24-52'!H932,'POSEBNI DIO 24-52'!H213,'POSEBNI DIO 24-52'!H364,'POSEBNI DIO 24-52'!H215,'POSEBNI DIO 24-52'!H197,)</f>
        <v>575000</v>
      </c>
      <c r="E38" s="49">
        <f>SUM('POSEBNI DIO 24-52'!I207,'POSEBNI DIO 24-52'!I210,'POSEBNI DIO 24-52'!I362,'POSEBNI DIO 24-52'!I201,'POSEBNI DIO 24-52'!I368,'POSEBNI DIO 24-52'!I195,'POSEBNI DIO 24-52'!I194,'POSEBNI DIO 24-52'!I366,'POSEBNI DIO 24-52'!I219,'POSEBNI DIO 24-52'!I212,'POSEBNI DIO 24-52'!I184,'POSEBNI DIO 24-52'!I187,'POSEBNI DIO 24-52'!I214,'POSEBNI DIO 24-52'!I935,'POSEBNI DIO 24-52'!I942,'POSEBNI DIO 24-52'!I947,'POSEBNI DIO 24-52'!I952:I953,'POSEBNI DIO 24-52'!I932,'POSEBNI DIO 24-52'!I213,'POSEBNI DIO 24-52'!I364,'POSEBNI DIO 24-52'!I215,'POSEBNI DIO 24-52'!I197,)</f>
        <v>0</v>
      </c>
      <c r="F38" s="49">
        <f>SUM('POSEBNI DIO 24-52'!J207,'POSEBNI DIO 24-52'!J210,'POSEBNI DIO 24-52'!J362,'POSEBNI DIO 24-52'!J201,'POSEBNI DIO 24-52'!J368,'POSEBNI DIO 24-52'!J195,'POSEBNI DIO 24-52'!J194,'POSEBNI DIO 24-52'!J366,'POSEBNI DIO 24-52'!J219,'POSEBNI DIO 24-52'!J212,'POSEBNI DIO 24-52'!J184,'POSEBNI DIO 24-52'!J187,'POSEBNI DIO 24-52'!J214,'POSEBNI DIO 24-52'!J935,'POSEBNI DIO 24-52'!J942,'POSEBNI DIO 24-52'!J947,'POSEBNI DIO 24-52'!J952:J953,'POSEBNI DIO 24-52'!J932,'POSEBNI DIO 24-52'!J213,'POSEBNI DIO 24-52'!J364,'POSEBNI DIO 24-52'!J215,'POSEBNI DIO 24-52'!J197,)</f>
        <v>1427000</v>
      </c>
      <c r="G38" s="49">
        <f>SUM('POSEBNI DIO 24-52'!K207,'POSEBNI DIO 24-52'!K210,'POSEBNI DIO 24-52'!K362,'POSEBNI DIO 24-52'!K201,'POSEBNI DIO 24-52'!K368,'POSEBNI DIO 24-52'!K195,'POSEBNI DIO 24-52'!K194,'POSEBNI DIO 24-52'!K366,'POSEBNI DIO 24-52'!K219,'POSEBNI DIO 24-52'!K212,'POSEBNI DIO 24-52'!K184,'POSEBNI DIO 24-52'!K187,'POSEBNI DIO 24-52'!K214,'POSEBNI DIO 24-52'!K935,'POSEBNI DIO 24-52'!K942,'POSEBNI DIO 24-52'!K947,'POSEBNI DIO 24-52'!K952:K953,'POSEBNI DIO 24-52'!K932,'POSEBNI DIO 24-52'!K213,'POSEBNI DIO 24-52'!K364,'POSEBNI DIO 24-52'!K215,'POSEBNI DIO 24-52'!K197,)</f>
        <v>0</v>
      </c>
      <c r="H38" s="49">
        <f>SUM('POSEBNI DIO 24-52'!L207,'POSEBNI DIO 24-52'!L210,'POSEBNI DIO 24-52'!L362,'POSEBNI DIO 24-52'!L201,'POSEBNI DIO 24-52'!L368,'POSEBNI DIO 24-52'!L195,'POSEBNI DIO 24-52'!L194,'POSEBNI DIO 24-52'!L366,'POSEBNI DIO 24-52'!L219,'POSEBNI DIO 24-52'!L212,'POSEBNI DIO 24-52'!L184,'POSEBNI DIO 24-52'!L187,'POSEBNI DIO 24-52'!L214,'POSEBNI DIO 24-52'!L935,'POSEBNI DIO 24-52'!L942,'POSEBNI DIO 24-52'!L947,'POSEBNI DIO 24-52'!L952:L953,'POSEBNI DIO 24-52'!L932,'POSEBNI DIO 24-52'!L213,'POSEBNI DIO 24-52'!L364,'POSEBNI DIO 24-52'!L215,'POSEBNI DIO 24-52'!L197,)</f>
        <v>0</v>
      </c>
      <c r="I38" s="49">
        <f>SUM('POSEBNI DIO 24-52'!M207,'POSEBNI DIO 24-52'!M210,'POSEBNI DIO 24-52'!M362,'POSEBNI DIO 24-52'!M201,'POSEBNI DIO 24-52'!M368,'POSEBNI DIO 24-52'!M195,'POSEBNI DIO 24-52'!M194,'POSEBNI DIO 24-52'!M366,'POSEBNI DIO 24-52'!M219,'POSEBNI DIO 24-52'!M212,'POSEBNI DIO 24-52'!M184,'POSEBNI DIO 24-52'!M187,'POSEBNI DIO 24-52'!M214,'POSEBNI DIO 24-52'!M935,'POSEBNI DIO 24-52'!M942,'POSEBNI DIO 24-52'!M947,'POSEBNI DIO 24-52'!M952:M953,'POSEBNI DIO 24-52'!M932,'POSEBNI DIO 24-52'!M213,'POSEBNI DIO 24-52'!M364,'POSEBNI DIO 24-52'!M215,'POSEBNI DIO 24-52'!M197,)</f>
        <v>0</v>
      </c>
      <c r="J38" s="49">
        <f>SUM('POSEBNI DIO 24-52'!N207,'POSEBNI DIO 24-52'!N210,'POSEBNI DIO 24-52'!N362,'POSEBNI DIO 24-52'!N201,'POSEBNI DIO 24-52'!N368,'POSEBNI DIO 24-52'!N195,'POSEBNI DIO 24-52'!N194,'POSEBNI DIO 24-52'!N366,'POSEBNI DIO 24-52'!N219,'POSEBNI DIO 24-52'!N212,'POSEBNI DIO 24-52'!N184,'POSEBNI DIO 24-52'!N187,'POSEBNI DIO 24-52'!N214,'POSEBNI DIO 24-52'!N935,'POSEBNI DIO 24-52'!N942,'POSEBNI DIO 24-52'!N947,'POSEBNI DIO 24-52'!N952:N953,'POSEBNI DIO 24-52'!N932,'POSEBNI DIO 24-52'!N213,'POSEBNI DIO 24-52'!N364,'POSEBNI DIO 24-52'!N215,'POSEBNI DIO 24-52'!N197,)</f>
        <v>0</v>
      </c>
      <c r="K38" s="49">
        <f>SUM('POSEBNI DIO 24-52'!O207,'POSEBNI DIO 24-52'!O210,'POSEBNI DIO 24-52'!O362,'POSEBNI DIO 24-52'!O201,'POSEBNI DIO 24-52'!O368,'POSEBNI DIO 24-52'!O195,'POSEBNI DIO 24-52'!O194,'POSEBNI DIO 24-52'!O366,'POSEBNI DIO 24-52'!O219,'POSEBNI DIO 24-52'!O212,'POSEBNI DIO 24-52'!O184,'POSEBNI DIO 24-52'!O187,'POSEBNI DIO 24-52'!O214,'POSEBNI DIO 24-52'!O935,'POSEBNI DIO 24-52'!O942,'POSEBNI DIO 24-52'!O947,'POSEBNI DIO 24-52'!O952:O953,'POSEBNI DIO 24-52'!O932,'POSEBNI DIO 24-52'!O213,'POSEBNI DIO 24-52'!O364,'POSEBNI DIO 24-52'!O215,'POSEBNI DIO 24-52'!O197,)</f>
        <v>852000</v>
      </c>
      <c r="L38" s="49">
        <f>SUM('POSEBNI DIO 24-52'!P207,'POSEBNI DIO 24-52'!P210,'POSEBNI DIO 24-52'!P362,'POSEBNI DIO 24-52'!P201,'POSEBNI DIO 24-52'!P368,'POSEBNI DIO 24-52'!P195,'POSEBNI DIO 24-52'!P194,'POSEBNI DIO 24-52'!P366,'POSEBNI DIO 24-52'!P219,'POSEBNI DIO 24-52'!P212,'POSEBNI DIO 24-52'!P184,'POSEBNI DIO 24-52'!P187,'POSEBNI DIO 24-52'!P214,'POSEBNI DIO 24-52'!P935,'POSEBNI DIO 24-52'!P942,'POSEBNI DIO 24-52'!P947,'POSEBNI DIO 24-52'!P952:P953,'POSEBNI DIO 24-52'!P932,'POSEBNI DIO 24-52'!P213,'POSEBNI DIO 24-52'!P364,'POSEBNI DIO 24-52'!P215,'POSEBNI DIO 24-52'!P197,)</f>
        <v>1427000</v>
      </c>
    </row>
    <row r="39" spans="1:12" ht="25.5" customHeight="1">
      <c r="A39" s="50">
        <v>491</v>
      </c>
      <c r="B39" s="59" t="s">
        <v>565</v>
      </c>
      <c r="C39" s="49">
        <f>SUM('POSEBNI DIO 24-52'!G159:G163,'POSEBNI DIO 24-52'!G164:G167,'POSEBNI DIO 24-52'!G168,'POSEBNI DIO 24-52'!G222,'POSEBNI DIO 24-52'!G240,)</f>
        <v>737283.86</v>
      </c>
      <c r="D39" s="49">
        <f>SUM('POSEBNI DIO 24-52'!H159:H163,'POSEBNI DIO 24-52'!H164:H167,'POSEBNI DIO 24-52'!H168,'POSEBNI DIO 24-52'!H222,'POSEBNI DIO 24-52'!H240,)</f>
        <v>5000</v>
      </c>
      <c r="E39" s="49">
        <f>SUM('POSEBNI DIO 24-52'!I159:I163,'POSEBNI DIO 24-52'!I164:I167,'POSEBNI DIO 24-52'!I168,'POSEBNI DIO 24-52'!I222,'POSEBNI DIO 24-52'!I240,)</f>
        <v>10000</v>
      </c>
      <c r="F39" s="49">
        <f>SUM('POSEBNI DIO 24-52'!J159:J163,'POSEBNI DIO 24-52'!J164:J167,'POSEBNI DIO 24-52'!J168,'POSEBNI DIO 24-52'!J222,'POSEBNI DIO 24-52'!J240,)</f>
        <v>732283.86</v>
      </c>
      <c r="G39" s="49">
        <f>SUM('POSEBNI DIO 24-52'!K159:K163,'POSEBNI DIO 24-52'!K164:K167,'POSEBNI DIO 24-52'!K168,'POSEBNI DIO 24-52'!K222,'POSEBNI DIO 24-52'!K240,)</f>
        <v>25000</v>
      </c>
      <c r="H39" s="49">
        <f>SUM('POSEBNI DIO 24-52'!L159:L163,'POSEBNI DIO 24-52'!L164:L167,'POSEBNI DIO 24-52'!L168,'POSEBNI DIO 24-52'!L222,'POSEBNI DIO 24-52'!L240,)</f>
        <v>0</v>
      </c>
      <c r="I39" s="49">
        <f>SUM('POSEBNI DIO 24-52'!M159:M163,'POSEBNI DIO 24-52'!M164:M167,'POSEBNI DIO 24-52'!M168,'POSEBNI DIO 24-52'!M222,'POSEBNI DIO 24-52'!M240,)</f>
        <v>0</v>
      </c>
      <c r="J39" s="49">
        <f>SUM('POSEBNI DIO 24-52'!N159:N163,'POSEBNI DIO 24-52'!N164:N167,'POSEBNI DIO 24-52'!N168,'POSEBNI DIO 24-52'!N222,'POSEBNI DIO 24-52'!N240,)</f>
        <v>25000</v>
      </c>
      <c r="K39" s="49">
        <f>SUM('POSEBNI DIO 24-52'!O159:O163,'POSEBNI DIO 24-52'!O164:O167,'POSEBNI DIO 24-52'!O168,'POSEBNI DIO 24-52'!O222,'POSEBNI DIO 24-52'!O240,)</f>
        <v>762283.86</v>
      </c>
      <c r="L39" s="49">
        <f>SUM('POSEBNI DIO 24-52'!P159:P163,'POSEBNI DIO 24-52'!P164:P167,'POSEBNI DIO 24-52'!P168,'POSEBNI DIO 24-52'!P222,'POSEBNI DIO 24-52'!P240,)</f>
        <v>757283.86</v>
      </c>
    </row>
    <row r="40" spans="1:12" ht="25.5" customHeight="1">
      <c r="A40" s="60">
        <v>500</v>
      </c>
      <c r="B40" s="61" t="s">
        <v>937</v>
      </c>
      <c r="C40" s="47">
        <f aca="true" t="shared" si="16" ref="C40:L40">SUM(C41)</f>
        <v>4810988.71</v>
      </c>
      <c r="D40" s="47">
        <f t="shared" si="16"/>
        <v>0</v>
      </c>
      <c r="E40" s="47">
        <f t="shared" si="16"/>
        <v>1739552.1</v>
      </c>
      <c r="F40" s="47">
        <f t="shared" si="16"/>
        <v>3071436.61</v>
      </c>
      <c r="G40" s="47">
        <f t="shared" si="16"/>
        <v>1693227.93</v>
      </c>
      <c r="H40" s="47">
        <f t="shared" si="16"/>
        <v>11059.2</v>
      </c>
      <c r="I40" s="47">
        <f t="shared" si="16"/>
        <v>0</v>
      </c>
      <c r="J40" s="47">
        <f t="shared" si="16"/>
        <v>1704287.13</v>
      </c>
      <c r="K40" s="47">
        <f t="shared" si="16"/>
        <v>6504216.640000001</v>
      </c>
      <c r="L40" s="47">
        <f t="shared" si="16"/>
        <v>4775723.739999999</v>
      </c>
    </row>
    <row r="41" spans="1:12" ht="25.5" customHeight="1">
      <c r="A41" s="50">
        <v>531</v>
      </c>
      <c r="B41" s="855" t="s">
        <v>938</v>
      </c>
      <c r="C41" s="49">
        <f>SUM('POSEBNI DIO 24-52'!G476,'POSEBNI DIO 24-52'!G529,'POSEBNI DIO 24-52'!G537,'POSEBNI DIO 24-52'!G530,'POSEBNI DIO 24-52'!G528,'POSEBNI DIO 24-52'!G531,'POSEBNI DIO 24-52'!G542,)</f>
        <v>4810988.71</v>
      </c>
      <c r="D41" s="49">
        <f>SUM('POSEBNI DIO 24-52'!H476,'POSEBNI DIO 24-52'!H529,'POSEBNI DIO 24-52'!H537,'POSEBNI DIO 24-52'!H530,'POSEBNI DIO 24-52'!H528,'POSEBNI DIO 24-52'!H531,'POSEBNI DIO 24-52'!H542,)</f>
        <v>0</v>
      </c>
      <c r="E41" s="49">
        <f>SUM('POSEBNI DIO 24-52'!I476,'POSEBNI DIO 24-52'!I529,'POSEBNI DIO 24-52'!I537,'POSEBNI DIO 24-52'!I530,'POSEBNI DIO 24-52'!I528,'POSEBNI DIO 24-52'!I531,'POSEBNI DIO 24-52'!I542,)</f>
        <v>1739552.1</v>
      </c>
      <c r="F41" s="49">
        <f>SUM('POSEBNI DIO 24-52'!J476,'POSEBNI DIO 24-52'!J529,'POSEBNI DIO 24-52'!J537,'POSEBNI DIO 24-52'!J530,'POSEBNI DIO 24-52'!J528,'POSEBNI DIO 24-52'!J531,'POSEBNI DIO 24-52'!J542,)</f>
        <v>3071436.61</v>
      </c>
      <c r="G41" s="49">
        <f>SUM('POSEBNI DIO 24-52'!K476,'POSEBNI DIO 24-52'!K529,'POSEBNI DIO 24-52'!K537,'POSEBNI DIO 24-52'!K530,'POSEBNI DIO 24-52'!K528,'POSEBNI DIO 24-52'!K531,'POSEBNI DIO 24-52'!K542,)</f>
        <v>1693227.93</v>
      </c>
      <c r="H41" s="49">
        <f>SUM('POSEBNI DIO 24-52'!L476,'POSEBNI DIO 24-52'!L529,'POSEBNI DIO 24-52'!L537,'POSEBNI DIO 24-52'!L530,'POSEBNI DIO 24-52'!L528,'POSEBNI DIO 24-52'!L531,'POSEBNI DIO 24-52'!L542,)</f>
        <v>11059.2</v>
      </c>
      <c r="I41" s="49">
        <f>SUM('POSEBNI DIO 24-52'!M476,'POSEBNI DIO 24-52'!M529,'POSEBNI DIO 24-52'!M537,'POSEBNI DIO 24-52'!M530,'POSEBNI DIO 24-52'!M528,'POSEBNI DIO 24-52'!M531,'POSEBNI DIO 24-52'!M542,)</f>
        <v>0</v>
      </c>
      <c r="J41" s="49">
        <f>SUM('POSEBNI DIO 24-52'!N476,'POSEBNI DIO 24-52'!N529,'POSEBNI DIO 24-52'!N537,'POSEBNI DIO 24-52'!N530,'POSEBNI DIO 24-52'!N528,'POSEBNI DIO 24-52'!N531,'POSEBNI DIO 24-52'!N542,)</f>
        <v>1704287.13</v>
      </c>
      <c r="K41" s="49">
        <f>SUM('POSEBNI DIO 24-52'!O476,'POSEBNI DIO 24-52'!O529,'POSEBNI DIO 24-52'!O537,'POSEBNI DIO 24-52'!O530,'POSEBNI DIO 24-52'!O528,'POSEBNI DIO 24-52'!O531,'POSEBNI DIO 24-52'!O542,)</f>
        <v>6504216.640000001</v>
      </c>
      <c r="L41" s="49">
        <f>SUM('POSEBNI DIO 24-52'!P476,'POSEBNI DIO 24-52'!P529,'POSEBNI DIO 24-52'!P537,'POSEBNI DIO 24-52'!P530,'POSEBNI DIO 24-52'!P528,'POSEBNI DIO 24-52'!P531,'POSEBNI DIO 24-52'!P542,)</f>
        <v>4775723.739999999</v>
      </c>
    </row>
    <row r="42" spans="1:12" ht="25.5" customHeight="1">
      <c r="A42" s="56">
        <v>600</v>
      </c>
      <c r="B42" s="57" t="s">
        <v>949</v>
      </c>
      <c r="C42" s="47">
        <f aca="true" t="shared" si="17" ref="C42:L42">SUM(C43:C46)</f>
        <v>26107928.44</v>
      </c>
      <c r="D42" s="47">
        <f t="shared" si="17"/>
        <v>4000000</v>
      </c>
      <c r="E42" s="47">
        <f t="shared" si="17"/>
        <v>3574000</v>
      </c>
      <c r="F42" s="47">
        <f t="shared" si="17"/>
        <v>26533928.440000005</v>
      </c>
      <c r="G42" s="47">
        <f t="shared" si="17"/>
        <v>2524300.9000000004</v>
      </c>
      <c r="H42" s="47">
        <f t="shared" si="17"/>
        <v>0</v>
      </c>
      <c r="I42" s="47">
        <f t="shared" si="17"/>
        <v>1000000</v>
      </c>
      <c r="J42" s="47">
        <f t="shared" si="17"/>
        <v>1524300.9000000001</v>
      </c>
      <c r="K42" s="47">
        <f t="shared" si="17"/>
        <v>28632229.340000004</v>
      </c>
      <c r="L42" s="47">
        <f t="shared" si="17"/>
        <v>28058229.340000004</v>
      </c>
    </row>
    <row r="43" spans="1:12" ht="25.5" customHeight="1">
      <c r="A43" s="45">
        <v>631</v>
      </c>
      <c r="B43" s="48" t="s">
        <v>568</v>
      </c>
      <c r="C43" s="49">
        <f>SUM('POSEBNI DIO 24-52'!G475,'POSEBNI DIO 24-52'!G536,)</f>
        <v>1983857.4100000001</v>
      </c>
      <c r="D43" s="49">
        <f>SUM('POSEBNI DIO 24-52'!H475,'POSEBNI DIO 24-52'!H536,)</f>
        <v>0</v>
      </c>
      <c r="E43" s="49">
        <f>SUM('POSEBNI DIO 24-52'!I475,'POSEBNI DIO 24-52'!I536,)</f>
        <v>0</v>
      </c>
      <c r="F43" s="49">
        <f>SUM('POSEBNI DIO 24-52'!J475,'POSEBNI DIO 24-52'!J536,)</f>
        <v>1983857.4100000001</v>
      </c>
      <c r="G43" s="49">
        <f>SUM('POSEBNI DIO 24-52'!K475,'POSEBNI DIO 24-52'!K536,)</f>
        <v>281865.01</v>
      </c>
      <c r="H43" s="49">
        <f>SUM('POSEBNI DIO 24-52'!L475,'POSEBNI DIO 24-52'!L536,)</f>
        <v>0</v>
      </c>
      <c r="I43" s="49">
        <f>SUM('POSEBNI DIO 24-52'!M475,'POSEBNI DIO 24-52'!M536,)</f>
        <v>0</v>
      </c>
      <c r="J43" s="49">
        <f>SUM('POSEBNI DIO 24-52'!N475,'POSEBNI DIO 24-52'!N536,)</f>
        <v>281865.01</v>
      </c>
      <c r="K43" s="49">
        <f>SUM('POSEBNI DIO 24-52'!O475,'POSEBNI DIO 24-52'!O536,)</f>
        <v>2265722.42</v>
      </c>
      <c r="L43" s="49">
        <f>SUM('POSEBNI DIO 24-52'!P475,'POSEBNI DIO 24-52'!P536,)</f>
        <v>2265722.42</v>
      </c>
    </row>
    <row r="44" spans="1:12" ht="25.5" customHeight="1">
      <c r="A44" s="45">
        <v>641</v>
      </c>
      <c r="B44" s="48" t="s">
        <v>569</v>
      </c>
      <c r="C44" s="49">
        <f>SUM('POSEBNI DIO 24-52'!G408,'POSEBNI DIO 24-52'!G446,'POSEBNI DIO 24-52'!G450,'POSEBNI DIO 24-52'!G469,'POSEBNI DIO 24-52'!G432,'POSEBNI DIO 24-52'!G422,'POSEBNI DIO 24-52'!G525,)</f>
        <v>2558000</v>
      </c>
      <c r="D44" s="49">
        <f>SUM('POSEBNI DIO 24-52'!H408,'POSEBNI DIO 24-52'!H446,'POSEBNI DIO 24-52'!H450,'POSEBNI DIO 24-52'!H469,'POSEBNI DIO 24-52'!H432,'POSEBNI DIO 24-52'!H422,'POSEBNI DIO 24-52'!H525,)</f>
        <v>400000</v>
      </c>
      <c r="E44" s="49">
        <f>SUM('POSEBNI DIO 24-52'!I408,'POSEBNI DIO 24-52'!I446,'POSEBNI DIO 24-52'!I450,'POSEBNI DIO 24-52'!I469,'POSEBNI DIO 24-52'!I432,'POSEBNI DIO 24-52'!I422,'POSEBNI DIO 24-52'!I525,)</f>
        <v>400000</v>
      </c>
      <c r="F44" s="49">
        <f>SUM('POSEBNI DIO 24-52'!J408,'POSEBNI DIO 24-52'!J446,'POSEBNI DIO 24-52'!J450,'POSEBNI DIO 24-52'!J469,'POSEBNI DIO 24-52'!J432,'POSEBNI DIO 24-52'!J422,'POSEBNI DIO 24-52'!J525,)</f>
        <v>2558000</v>
      </c>
      <c r="G44" s="49">
        <f>SUM('POSEBNI DIO 24-52'!K408,'POSEBNI DIO 24-52'!K446,'POSEBNI DIO 24-52'!K450,'POSEBNI DIO 24-52'!K469,'POSEBNI DIO 24-52'!K432,'POSEBNI DIO 24-52'!K422,'POSEBNI DIO 24-52'!K525,)</f>
        <v>40000</v>
      </c>
      <c r="H44" s="49">
        <f>SUM('POSEBNI DIO 24-52'!L408,'POSEBNI DIO 24-52'!L446,'POSEBNI DIO 24-52'!L450,'POSEBNI DIO 24-52'!L469,'POSEBNI DIO 24-52'!L432,'POSEBNI DIO 24-52'!L422,'POSEBNI DIO 24-52'!L525,)</f>
        <v>0</v>
      </c>
      <c r="I44" s="49">
        <f>SUM('POSEBNI DIO 24-52'!M408,'POSEBNI DIO 24-52'!M446,'POSEBNI DIO 24-52'!M450,'POSEBNI DIO 24-52'!M469,'POSEBNI DIO 24-52'!M432,'POSEBNI DIO 24-52'!M422,'POSEBNI DIO 24-52'!M525,)</f>
        <v>0</v>
      </c>
      <c r="J44" s="49">
        <f>SUM('POSEBNI DIO 24-52'!N408,'POSEBNI DIO 24-52'!N446,'POSEBNI DIO 24-52'!N450,'POSEBNI DIO 24-52'!N469,'POSEBNI DIO 24-52'!N432,'POSEBNI DIO 24-52'!N422,'POSEBNI DIO 24-52'!N525,)</f>
        <v>40000</v>
      </c>
      <c r="K44" s="49">
        <f>SUM('POSEBNI DIO 24-52'!O408,'POSEBNI DIO 24-52'!O446,'POSEBNI DIO 24-52'!O450,'POSEBNI DIO 24-52'!O469,'POSEBNI DIO 24-52'!O432,'POSEBNI DIO 24-52'!O422,'POSEBNI DIO 24-52'!O525,)</f>
        <v>2598000</v>
      </c>
      <c r="L44" s="49">
        <f>SUM('POSEBNI DIO 24-52'!P408,'POSEBNI DIO 24-52'!P446,'POSEBNI DIO 24-52'!P450,'POSEBNI DIO 24-52'!P469,'POSEBNI DIO 24-52'!P432,'POSEBNI DIO 24-52'!P422,'POSEBNI DIO 24-52'!P525,)</f>
        <v>2598000</v>
      </c>
    </row>
    <row r="45" spans="1:12" ht="25.5" customHeight="1">
      <c r="A45" s="50">
        <v>661</v>
      </c>
      <c r="B45" s="855" t="s">
        <v>948</v>
      </c>
      <c r="C45" s="65">
        <f>SUM('POSEBNI DIO 24-52'!G742)</f>
        <v>30000</v>
      </c>
      <c r="D45" s="65">
        <f>SUM('POSEBNI DIO 24-52'!H742)</f>
        <v>0</v>
      </c>
      <c r="E45" s="65">
        <f>SUM('POSEBNI DIO 24-52'!I742)</f>
        <v>0</v>
      </c>
      <c r="F45" s="65">
        <f>SUM('POSEBNI DIO 24-52'!J742)</f>
        <v>30000</v>
      </c>
      <c r="G45" s="65">
        <f>SUM('POSEBNI DIO 24-52'!K742)</f>
        <v>0</v>
      </c>
      <c r="H45" s="65">
        <f>SUM('POSEBNI DIO 24-52'!L742)</f>
        <v>0</v>
      </c>
      <c r="I45" s="65">
        <f>SUM('POSEBNI DIO 24-52'!M742)</f>
        <v>0</v>
      </c>
      <c r="J45" s="65">
        <f>SUM('POSEBNI DIO 24-52'!N742)</f>
        <v>0</v>
      </c>
      <c r="K45" s="65">
        <f>SUM('POSEBNI DIO 24-52'!O742)</f>
        <v>30000</v>
      </c>
      <c r="L45" s="65">
        <f>SUM('POSEBNI DIO 24-52'!P742)</f>
        <v>30000</v>
      </c>
    </row>
    <row r="46" spans="1:12" ht="24.75" customHeight="1" thickBot="1">
      <c r="A46" s="52">
        <v>662</v>
      </c>
      <c r="B46" s="62" t="s">
        <v>567</v>
      </c>
      <c r="C46" s="54">
        <f>SUM('POSEBNI DIO 24-52'!G399,'POSEBNI DIO 24-52'!G410:G420,'POSEBNI DIO 24-52'!G447:G449,'POSEBNI DIO 24-52'!G451:G456,'POSEBNI DIO 24-52'!G464:G466,'POSEBNI DIO 24-52'!G471:G473,'POSEBNI DIO 24-52'!G477:G480,'POSEBNI DIO 24-52'!G373,'POSEBNI DIO 24-52'!G474,'POSEBNI DIO 24-52'!G534:G535,'POSEBNI DIO 24-52'!G538:G539,'POSEBNI DIO 24-52'!G470:G470,'POSEBNI DIO 24-52'!G527,'POSEBNI DIO 24-52'!G467,'POSEBNI DIO 24-52'!G526,'POSEBNI DIO 24-52'!G540,'POSEBNI DIO 24-52'!G427,'POSEBNI DIO 24-52'!G433,'POSEBNI DIO 24-52'!G434,'POSEBNI DIO 24-52'!G428,'POSEBNI DIO 24-52'!G541,'POSEBNI DIO 24-52'!G468,'POSEBNI DIO 24-52'!G409,'POSEBNI DIO 24-52'!G421,'POSEBNI DIO 24-52'!G423:G425,'POSEBNI DIO 24-52'!G533,'POSEBNI DIO 24-52'!G520:G524,'POSEBNI DIO 24-52'!G457,)</f>
        <v>21536071.03</v>
      </c>
      <c r="D46" s="54">
        <f>SUM('POSEBNI DIO 24-52'!H399,'POSEBNI DIO 24-52'!H410:H420,'POSEBNI DIO 24-52'!H447:H449,'POSEBNI DIO 24-52'!H451:H456,'POSEBNI DIO 24-52'!H464:H466,'POSEBNI DIO 24-52'!H471:H473,'POSEBNI DIO 24-52'!H477:H480,'POSEBNI DIO 24-52'!H373,'POSEBNI DIO 24-52'!H474,'POSEBNI DIO 24-52'!H534:H535,'POSEBNI DIO 24-52'!H538:H539,'POSEBNI DIO 24-52'!H470:H470,'POSEBNI DIO 24-52'!H527,'POSEBNI DIO 24-52'!H467,'POSEBNI DIO 24-52'!H526,'POSEBNI DIO 24-52'!H540,'POSEBNI DIO 24-52'!H427,'POSEBNI DIO 24-52'!H433,'POSEBNI DIO 24-52'!H434,'POSEBNI DIO 24-52'!H428,'POSEBNI DIO 24-52'!H541,'POSEBNI DIO 24-52'!H468,'POSEBNI DIO 24-52'!H409,'POSEBNI DIO 24-52'!H421,'POSEBNI DIO 24-52'!H423:H425,'POSEBNI DIO 24-52'!H533,'POSEBNI DIO 24-52'!H520:H524,'POSEBNI DIO 24-52'!H457,)</f>
        <v>3600000</v>
      </c>
      <c r="E46" s="54">
        <f>SUM('POSEBNI DIO 24-52'!I399,'POSEBNI DIO 24-52'!I410:I420,'POSEBNI DIO 24-52'!I447:I449,'POSEBNI DIO 24-52'!I451:I456,'POSEBNI DIO 24-52'!I464:I466,'POSEBNI DIO 24-52'!I471:I473,'POSEBNI DIO 24-52'!I477:I480,'POSEBNI DIO 24-52'!I373,'POSEBNI DIO 24-52'!I474,'POSEBNI DIO 24-52'!I534:I535,'POSEBNI DIO 24-52'!I538:I539,'POSEBNI DIO 24-52'!I470:I470,'POSEBNI DIO 24-52'!I527,'POSEBNI DIO 24-52'!I467,'POSEBNI DIO 24-52'!I526,'POSEBNI DIO 24-52'!I540,'POSEBNI DIO 24-52'!I427,'POSEBNI DIO 24-52'!I433,'POSEBNI DIO 24-52'!I434,'POSEBNI DIO 24-52'!I428,'POSEBNI DIO 24-52'!I541,'POSEBNI DIO 24-52'!I468,'POSEBNI DIO 24-52'!I409,'POSEBNI DIO 24-52'!I421,'POSEBNI DIO 24-52'!I423:I425,'POSEBNI DIO 24-52'!I533,'POSEBNI DIO 24-52'!I520:I524,'POSEBNI DIO 24-52'!I457,)</f>
        <v>3174000</v>
      </c>
      <c r="F46" s="54">
        <f>SUM('POSEBNI DIO 24-52'!J399,'POSEBNI DIO 24-52'!J410:J420,'POSEBNI DIO 24-52'!J447:J449,'POSEBNI DIO 24-52'!J451:J456,'POSEBNI DIO 24-52'!J464:J466,'POSEBNI DIO 24-52'!J471:J473,'POSEBNI DIO 24-52'!J477:J480,'POSEBNI DIO 24-52'!J373,'POSEBNI DIO 24-52'!J474,'POSEBNI DIO 24-52'!J534:J535,'POSEBNI DIO 24-52'!J538:J539,'POSEBNI DIO 24-52'!J470:J470,'POSEBNI DIO 24-52'!J527,'POSEBNI DIO 24-52'!J467,'POSEBNI DIO 24-52'!J526,'POSEBNI DIO 24-52'!J540,'POSEBNI DIO 24-52'!J427,'POSEBNI DIO 24-52'!J433,'POSEBNI DIO 24-52'!J434,'POSEBNI DIO 24-52'!J428,'POSEBNI DIO 24-52'!J541,'POSEBNI DIO 24-52'!J468,'POSEBNI DIO 24-52'!J409,'POSEBNI DIO 24-52'!J421,'POSEBNI DIO 24-52'!J423:J425,'POSEBNI DIO 24-52'!J533,'POSEBNI DIO 24-52'!J520:J524,'POSEBNI DIO 24-52'!J457,)</f>
        <v>21962071.030000005</v>
      </c>
      <c r="G46" s="54">
        <f>SUM('POSEBNI DIO 24-52'!K399,'POSEBNI DIO 24-52'!K410:K420,'POSEBNI DIO 24-52'!K447:K449,'POSEBNI DIO 24-52'!K451:K456,'POSEBNI DIO 24-52'!K464:K466,'POSEBNI DIO 24-52'!K471:K473,'POSEBNI DIO 24-52'!K477:K480,'POSEBNI DIO 24-52'!K373,'POSEBNI DIO 24-52'!K474,'POSEBNI DIO 24-52'!K534:K535,'POSEBNI DIO 24-52'!K538:K539,'POSEBNI DIO 24-52'!K470:K470,'POSEBNI DIO 24-52'!K527,'POSEBNI DIO 24-52'!K467,'POSEBNI DIO 24-52'!K526,'POSEBNI DIO 24-52'!K540,'POSEBNI DIO 24-52'!K427,'POSEBNI DIO 24-52'!K433,'POSEBNI DIO 24-52'!K434,'POSEBNI DIO 24-52'!K428,'POSEBNI DIO 24-52'!K541,'POSEBNI DIO 24-52'!K468,'POSEBNI DIO 24-52'!K409,'POSEBNI DIO 24-52'!K421,'POSEBNI DIO 24-52'!K423:K425,'POSEBNI DIO 24-52'!K533,'POSEBNI DIO 24-52'!K520:K524,'POSEBNI DIO 24-52'!K457,)</f>
        <v>2202435.89</v>
      </c>
      <c r="H46" s="54">
        <f>SUM('POSEBNI DIO 24-52'!L399,'POSEBNI DIO 24-52'!L410:L420,'POSEBNI DIO 24-52'!L447:L449,'POSEBNI DIO 24-52'!L451:L456,'POSEBNI DIO 24-52'!L464:L466,'POSEBNI DIO 24-52'!L471:L473,'POSEBNI DIO 24-52'!L477:L480,'POSEBNI DIO 24-52'!L373,'POSEBNI DIO 24-52'!L474,'POSEBNI DIO 24-52'!L534:L535,'POSEBNI DIO 24-52'!L538:L539,'POSEBNI DIO 24-52'!L470:L470,'POSEBNI DIO 24-52'!L527,'POSEBNI DIO 24-52'!L467,'POSEBNI DIO 24-52'!L526,'POSEBNI DIO 24-52'!L540,'POSEBNI DIO 24-52'!L427,'POSEBNI DIO 24-52'!L433,'POSEBNI DIO 24-52'!L434,'POSEBNI DIO 24-52'!L428,'POSEBNI DIO 24-52'!L541,'POSEBNI DIO 24-52'!L468,'POSEBNI DIO 24-52'!L409,'POSEBNI DIO 24-52'!L421,'POSEBNI DIO 24-52'!L423:L425,'POSEBNI DIO 24-52'!L533,'POSEBNI DIO 24-52'!L520:L524,'POSEBNI DIO 24-52'!L457,)</f>
        <v>0</v>
      </c>
      <c r="I46" s="54">
        <f>SUM('POSEBNI DIO 24-52'!M399,'POSEBNI DIO 24-52'!M410:M420,'POSEBNI DIO 24-52'!M447:M449,'POSEBNI DIO 24-52'!M451:M456,'POSEBNI DIO 24-52'!M464:M466,'POSEBNI DIO 24-52'!M471:M473,'POSEBNI DIO 24-52'!M477:M480,'POSEBNI DIO 24-52'!M373,'POSEBNI DIO 24-52'!M474,'POSEBNI DIO 24-52'!M534:M535,'POSEBNI DIO 24-52'!M538:M539,'POSEBNI DIO 24-52'!M470:M470,'POSEBNI DIO 24-52'!M527,'POSEBNI DIO 24-52'!M467,'POSEBNI DIO 24-52'!M526,'POSEBNI DIO 24-52'!M540,'POSEBNI DIO 24-52'!M427,'POSEBNI DIO 24-52'!M433,'POSEBNI DIO 24-52'!M434,'POSEBNI DIO 24-52'!M428,'POSEBNI DIO 24-52'!M541,'POSEBNI DIO 24-52'!M468,'POSEBNI DIO 24-52'!M409,'POSEBNI DIO 24-52'!M421,'POSEBNI DIO 24-52'!M423:M425,'POSEBNI DIO 24-52'!M533,'POSEBNI DIO 24-52'!M520:M524,'POSEBNI DIO 24-52'!M457,)</f>
        <v>1000000</v>
      </c>
      <c r="J46" s="54">
        <f>SUM('POSEBNI DIO 24-52'!N399,'POSEBNI DIO 24-52'!N410:N420,'POSEBNI DIO 24-52'!N447:N449,'POSEBNI DIO 24-52'!N451:N456,'POSEBNI DIO 24-52'!N464:N466,'POSEBNI DIO 24-52'!N471:N473,'POSEBNI DIO 24-52'!N477:N480,'POSEBNI DIO 24-52'!N373,'POSEBNI DIO 24-52'!N474,'POSEBNI DIO 24-52'!N534:N535,'POSEBNI DIO 24-52'!N538:N539,'POSEBNI DIO 24-52'!N470:N470,'POSEBNI DIO 24-52'!N527,'POSEBNI DIO 24-52'!N467,'POSEBNI DIO 24-52'!N526,'POSEBNI DIO 24-52'!N540,'POSEBNI DIO 24-52'!N427,'POSEBNI DIO 24-52'!N433,'POSEBNI DIO 24-52'!N434,'POSEBNI DIO 24-52'!N428,'POSEBNI DIO 24-52'!N541,'POSEBNI DIO 24-52'!N468,'POSEBNI DIO 24-52'!N409,'POSEBNI DIO 24-52'!N421,'POSEBNI DIO 24-52'!N423:N425,'POSEBNI DIO 24-52'!N533,'POSEBNI DIO 24-52'!N520:N524,'POSEBNI DIO 24-52'!N457,)</f>
        <v>1202435.8900000001</v>
      </c>
      <c r="K46" s="54">
        <f>SUM('POSEBNI DIO 24-52'!O399,'POSEBNI DIO 24-52'!O410:O420,'POSEBNI DIO 24-52'!O447:O449,'POSEBNI DIO 24-52'!O451:O456,'POSEBNI DIO 24-52'!O464:O466,'POSEBNI DIO 24-52'!O471:O473,'POSEBNI DIO 24-52'!O477:O480,'POSEBNI DIO 24-52'!O373,'POSEBNI DIO 24-52'!O474,'POSEBNI DIO 24-52'!O534:O535,'POSEBNI DIO 24-52'!O538:O539,'POSEBNI DIO 24-52'!O470:O470,'POSEBNI DIO 24-52'!O527,'POSEBNI DIO 24-52'!O467,'POSEBNI DIO 24-52'!O526,'POSEBNI DIO 24-52'!O540,'POSEBNI DIO 24-52'!O427,'POSEBNI DIO 24-52'!O433,'POSEBNI DIO 24-52'!O434,'POSEBNI DIO 24-52'!O428,'POSEBNI DIO 24-52'!O541,'POSEBNI DIO 24-52'!O468,'POSEBNI DIO 24-52'!O409,'POSEBNI DIO 24-52'!O421,'POSEBNI DIO 24-52'!O423:O425,'POSEBNI DIO 24-52'!O533,'POSEBNI DIO 24-52'!O520:O524,'POSEBNI DIO 24-52'!O457,)</f>
        <v>23738506.92</v>
      </c>
      <c r="L46" s="54">
        <f>SUM('POSEBNI DIO 24-52'!P399,'POSEBNI DIO 24-52'!P410:P420,'POSEBNI DIO 24-52'!P447:P449,'POSEBNI DIO 24-52'!P451:P456,'POSEBNI DIO 24-52'!P464:P466,'POSEBNI DIO 24-52'!P471:P473,'POSEBNI DIO 24-52'!P477:P480,'POSEBNI DIO 24-52'!P373,'POSEBNI DIO 24-52'!P474,'POSEBNI DIO 24-52'!P534:P535,'POSEBNI DIO 24-52'!P538:P539,'POSEBNI DIO 24-52'!P470:P470,'POSEBNI DIO 24-52'!P527,'POSEBNI DIO 24-52'!P467,'POSEBNI DIO 24-52'!P526,'POSEBNI DIO 24-52'!P540,'POSEBNI DIO 24-52'!P427,'POSEBNI DIO 24-52'!P433,'POSEBNI DIO 24-52'!P434,'POSEBNI DIO 24-52'!P428,'POSEBNI DIO 24-52'!P541,'POSEBNI DIO 24-52'!P468,'POSEBNI DIO 24-52'!P409,'POSEBNI DIO 24-52'!P421,'POSEBNI DIO 24-52'!P423:P425,'POSEBNI DIO 24-52'!P533,'POSEBNI DIO 24-52'!P520:P524,'POSEBNI DIO 24-52'!P457,)</f>
        <v>23164506.92</v>
      </c>
    </row>
    <row r="47" spans="3:12" ht="12.75">
      <c r="C47" s="55"/>
      <c r="D47" s="55"/>
      <c r="E47" s="55"/>
      <c r="F47" s="55"/>
      <c r="G47" s="55"/>
      <c r="H47" s="55"/>
      <c r="I47" s="55"/>
      <c r="J47" s="55"/>
      <c r="K47" s="55"/>
      <c r="L47" s="1005"/>
    </row>
    <row r="48" spans="3:12" ht="13.5" thickBot="1">
      <c r="C48" s="55"/>
      <c r="D48" s="55"/>
      <c r="E48" s="55"/>
      <c r="F48" s="55"/>
      <c r="G48" s="55"/>
      <c r="H48" s="55"/>
      <c r="I48" s="55"/>
      <c r="J48" s="55"/>
      <c r="K48" s="55"/>
      <c r="L48" s="1005"/>
    </row>
    <row r="49" spans="1:12" ht="223.5" customHeight="1">
      <c r="A49" s="40" t="s">
        <v>497</v>
      </c>
      <c r="B49" s="41" t="s">
        <v>700</v>
      </c>
      <c r="C49" s="9" t="s">
        <v>1132</v>
      </c>
      <c r="D49" s="9" t="s">
        <v>1356</v>
      </c>
      <c r="E49" s="9" t="s">
        <v>1357</v>
      </c>
      <c r="F49" s="9" t="s">
        <v>1358</v>
      </c>
      <c r="G49" s="9" t="s">
        <v>1186</v>
      </c>
      <c r="H49" s="9" t="s">
        <v>1359</v>
      </c>
      <c r="I49" s="9" t="s">
        <v>1360</v>
      </c>
      <c r="J49" s="9" t="s">
        <v>1361</v>
      </c>
      <c r="K49" s="9" t="s">
        <v>1133</v>
      </c>
      <c r="L49" s="9" t="s">
        <v>1355</v>
      </c>
    </row>
    <row r="50" spans="1:12" ht="20.25">
      <c r="A50" s="42">
        <v>0</v>
      </c>
      <c r="B50" s="43">
        <v>1</v>
      </c>
      <c r="C50" s="44">
        <v>2</v>
      </c>
      <c r="D50" s="44">
        <v>3</v>
      </c>
      <c r="E50" s="44">
        <v>4</v>
      </c>
      <c r="F50" s="44">
        <v>5</v>
      </c>
      <c r="G50" s="44">
        <v>6</v>
      </c>
      <c r="H50" s="44">
        <v>7</v>
      </c>
      <c r="I50" s="44">
        <v>8</v>
      </c>
      <c r="J50" s="44">
        <v>9</v>
      </c>
      <c r="K50" s="44">
        <v>10</v>
      </c>
      <c r="L50" s="1004">
        <v>11</v>
      </c>
    </row>
    <row r="51" spans="1:12" ht="28.5" customHeight="1">
      <c r="A51" s="56">
        <v>700</v>
      </c>
      <c r="B51" s="57" t="s">
        <v>570</v>
      </c>
      <c r="C51" s="47">
        <f aca="true" t="shared" si="18" ref="C51:L51">SUM(C52:C53)</f>
        <v>178000</v>
      </c>
      <c r="D51" s="47">
        <f t="shared" si="18"/>
        <v>0</v>
      </c>
      <c r="E51" s="47">
        <f t="shared" si="18"/>
        <v>0</v>
      </c>
      <c r="F51" s="47">
        <f t="shared" si="18"/>
        <v>178000</v>
      </c>
      <c r="G51" s="47">
        <f t="shared" si="18"/>
        <v>0</v>
      </c>
      <c r="H51" s="47">
        <f t="shared" si="18"/>
        <v>0</v>
      </c>
      <c r="I51" s="47">
        <f t="shared" si="18"/>
        <v>0</v>
      </c>
      <c r="J51" s="47">
        <f t="shared" si="18"/>
        <v>0</v>
      </c>
      <c r="K51" s="47">
        <f t="shared" si="18"/>
        <v>178000</v>
      </c>
      <c r="L51" s="47">
        <f t="shared" si="18"/>
        <v>178000</v>
      </c>
    </row>
    <row r="52" spans="1:12" ht="28.5" customHeight="1">
      <c r="A52" s="45">
        <v>741</v>
      </c>
      <c r="B52" s="48" t="s">
        <v>572</v>
      </c>
      <c r="C52" s="49">
        <f>SUM('POSEBNI DIO 24-52'!G217,'POSEBNI DIO 24-52'!G370,)</f>
        <v>50000</v>
      </c>
      <c r="D52" s="49">
        <f>SUM('POSEBNI DIO 24-52'!H217,'POSEBNI DIO 24-52'!H370,)</f>
        <v>0</v>
      </c>
      <c r="E52" s="49">
        <f>SUM('POSEBNI DIO 24-52'!I217,'POSEBNI DIO 24-52'!I370,)</f>
        <v>0</v>
      </c>
      <c r="F52" s="49">
        <f>SUM('POSEBNI DIO 24-52'!J217,'POSEBNI DIO 24-52'!J370,)</f>
        <v>50000</v>
      </c>
      <c r="G52" s="49">
        <f>SUM('POSEBNI DIO 24-52'!K217,'POSEBNI DIO 24-52'!K370,)</f>
        <v>0</v>
      </c>
      <c r="H52" s="49">
        <f>SUM('POSEBNI DIO 24-52'!L217,'POSEBNI DIO 24-52'!L370,)</f>
        <v>0</v>
      </c>
      <c r="I52" s="49">
        <f>SUM('POSEBNI DIO 24-52'!M217,'POSEBNI DIO 24-52'!M370,)</f>
        <v>0</v>
      </c>
      <c r="J52" s="49">
        <f>SUM('POSEBNI DIO 24-52'!N217,'POSEBNI DIO 24-52'!N370,)</f>
        <v>0</v>
      </c>
      <c r="K52" s="49">
        <f>SUM('POSEBNI DIO 24-52'!O217,'POSEBNI DIO 24-52'!O370,)</f>
        <v>50000</v>
      </c>
      <c r="L52" s="49">
        <f>SUM('POSEBNI DIO 24-52'!P217,'POSEBNI DIO 24-52'!P370,)</f>
        <v>50000</v>
      </c>
    </row>
    <row r="53" spans="1:12" ht="25.5" customHeight="1">
      <c r="A53" s="45">
        <v>761</v>
      </c>
      <c r="B53" s="48" t="s">
        <v>573</v>
      </c>
      <c r="C53" s="49">
        <f>SUM('POSEBNI DIO 24-52'!G209,'POSEBNI DIO 24-52'!G198,'POSEBNI DIO 24-52'!G218,'POSEBNI DIO 24-52'!G751,'POSEBNI DIO 24-52'!G945,)</f>
        <v>128000</v>
      </c>
      <c r="D53" s="49">
        <f>SUM('POSEBNI DIO 24-52'!H209,'POSEBNI DIO 24-52'!H198,'POSEBNI DIO 24-52'!H218,'POSEBNI DIO 24-52'!H751,'POSEBNI DIO 24-52'!H945,)</f>
        <v>0</v>
      </c>
      <c r="E53" s="49">
        <f>SUM('POSEBNI DIO 24-52'!I209,'POSEBNI DIO 24-52'!I198,'POSEBNI DIO 24-52'!I218,'POSEBNI DIO 24-52'!I751,'POSEBNI DIO 24-52'!I945,)</f>
        <v>0</v>
      </c>
      <c r="F53" s="49">
        <f>SUM('POSEBNI DIO 24-52'!J209,'POSEBNI DIO 24-52'!J198,'POSEBNI DIO 24-52'!J218,'POSEBNI DIO 24-52'!J751,'POSEBNI DIO 24-52'!J945,)</f>
        <v>128000</v>
      </c>
      <c r="G53" s="49">
        <f>SUM('POSEBNI DIO 24-52'!K209,'POSEBNI DIO 24-52'!K198,'POSEBNI DIO 24-52'!K218,'POSEBNI DIO 24-52'!K751,'POSEBNI DIO 24-52'!K945,)</f>
        <v>0</v>
      </c>
      <c r="H53" s="49">
        <f>SUM('POSEBNI DIO 24-52'!L209,'POSEBNI DIO 24-52'!L198,'POSEBNI DIO 24-52'!L218,'POSEBNI DIO 24-52'!L751,'POSEBNI DIO 24-52'!L945,)</f>
        <v>0</v>
      </c>
      <c r="I53" s="49">
        <f>SUM('POSEBNI DIO 24-52'!M209,'POSEBNI DIO 24-52'!M198,'POSEBNI DIO 24-52'!M218,'POSEBNI DIO 24-52'!M751,'POSEBNI DIO 24-52'!M945,)</f>
        <v>0</v>
      </c>
      <c r="J53" s="49">
        <f>SUM('POSEBNI DIO 24-52'!N209,'POSEBNI DIO 24-52'!N198,'POSEBNI DIO 24-52'!N218,'POSEBNI DIO 24-52'!N751,'POSEBNI DIO 24-52'!N945,)</f>
        <v>0</v>
      </c>
      <c r="K53" s="49">
        <f>SUM('POSEBNI DIO 24-52'!O209,'POSEBNI DIO 24-52'!O198,'POSEBNI DIO 24-52'!O218,'POSEBNI DIO 24-52'!O751,'POSEBNI DIO 24-52'!O945,)</f>
        <v>128000</v>
      </c>
      <c r="L53" s="49">
        <f>SUM('POSEBNI DIO 24-52'!P209,'POSEBNI DIO 24-52'!P198,'POSEBNI DIO 24-52'!P218,'POSEBNI DIO 24-52'!P751,'POSEBNI DIO 24-52'!P945,)</f>
        <v>128000</v>
      </c>
    </row>
    <row r="54" spans="1:12" ht="30" customHeight="1">
      <c r="A54" s="56">
        <v>800</v>
      </c>
      <c r="B54" s="63" t="s">
        <v>574</v>
      </c>
      <c r="C54" s="47">
        <f aca="true" t="shared" si="19" ref="C54:L54">SUM(C55:C59)</f>
        <v>5151500</v>
      </c>
      <c r="D54" s="47">
        <f t="shared" si="19"/>
        <v>62000</v>
      </c>
      <c r="E54" s="47">
        <f t="shared" si="19"/>
        <v>228000</v>
      </c>
      <c r="F54" s="47">
        <f t="shared" si="19"/>
        <v>4985500</v>
      </c>
      <c r="G54" s="47">
        <f t="shared" si="19"/>
        <v>335064</v>
      </c>
      <c r="H54" s="47">
        <f t="shared" si="19"/>
        <v>0</v>
      </c>
      <c r="I54" s="47">
        <f t="shared" si="19"/>
        <v>0</v>
      </c>
      <c r="J54" s="47">
        <f t="shared" si="19"/>
        <v>335064</v>
      </c>
      <c r="K54" s="47">
        <f t="shared" si="19"/>
        <v>5486564</v>
      </c>
      <c r="L54" s="47">
        <f t="shared" si="19"/>
        <v>5320564</v>
      </c>
    </row>
    <row r="55" spans="1:12" ht="25.5" customHeight="1">
      <c r="A55" s="45">
        <v>811</v>
      </c>
      <c r="B55" s="48" t="s">
        <v>575</v>
      </c>
      <c r="C55" s="49">
        <f>SUM('POSEBNI DIO 24-52'!G176,'POSEBNI DIO 24-52'!G179,'POSEBNI DIO 24-52'!G180:G180,'POSEBNI DIO 24-52'!G323,'POSEBNI DIO 24-52'!G208,'POSEBNI DIO 24-52'!G192,'POSEBNI DIO 24-52'!G183,'POSEBNI DIO 24-52'!G185,'POSEBNI DIO 24-52'!G188,'POSEBNI DIO 24-52'!G216,'POSEBNI DIO 24-52'!G925,'POSEBNI DIO 24-52'!G927:G928,'POSEBNI DIO 24-52'!G931,'POSEBNI DIO 24-52'!G936,'POSEBNI DIO 24-52'!G940,'POSEBNI DIO 24-52'!G933,)</f>
        <v>2418500</v>
      </c>
      <c r="D55" s="49">
        <f>SUM('POSEBNI DIO 24-52'!H176,'POSEBNI DIO 24-52'!H179,'POSEBNI DIO 24-52'!H180:H180,'POSEBNI DIO 24-52'!H323,'POSEBNI DIO 24-52'!H208,'POSEBNI DIO 24-52'!H192,'POSEBNI DIO 24-52'!H183,'POSEBNI DIO 24-52'!H185,'POSEBNI DIO 24-52'!H188,'POSEBNI DIO 24-52'!H216,'POSEBNI DIO 24-52'!H925,'POSEBNI DIO 24-52'!H927:H928,'POSEBNI DIO 24-52'!H931,'POSEBNI DIO 24-52'!H936,'POSEBNI DIO 24-52'!H940,'POSEBNI DIO 24-52'!H933,)</f>
        <v>62000</v>
      </c>
      <c r="E55" s="49">
        <f>SUM('POSEBNI DIO 24-52'!I176,'POSEBNI DIO 24-52'!I179,'POSEBNI DIO 24-52'!I180:I180,'POSEBNI DIO 24-52'!I323,'POSEBNI DIO 24-52'!I208,'POSEBNI DIO 24-52'!I192,'POSEBNI DIO 24-52'!I183,'POSEBNI DIO 24-52'!I185,'POSEBNI DIO 24-52'!I188,'POSEBNI DIO 24-52'!I216,'POSEBNI DIO 24-52'!I925,'POSEBNI DIO 24-52'!I927:I928,'POSEBNI DIO 24-52'!I931,'POSEBNI DIO 24-52'!I936,'POSEBNI DIO 24-52'!I940,'POSEBNI DIO 24-52'!I933,)</f>
        <v>150000</v>
      </c>
      <c r="F55" s="49">
        <f>SUM('POSEBNI DIO 24-52'!J176,'POSEBNI DIO 24-52'!J179,'POSEBNI DIO 24-52'!J180:J180,'POSEBNI DIO 24-52'!J323,'POSEBNI DIO 24-52'!J208,'POSEBNI DIO 24-52'!J192,'POSEBNI DIO 24-52'!J183,'POSEBNI DIO 24-52'!J185,'POSEBNI DIO 24-52'!J188,'POSEBNI DIO 24-52'!J216,'POSEBNI DIO 24-52'!J925,'POSEBNI DIO 24-52'!J927:J928,'POSEBNI DIO 24-52'!J931,'POSEBNI DIO 24-52'!J936,'POSEBNI DIO 24-52'!J940,'POSEBNI DIO 24-52'!J933,)</f>
        <v>2330500</v>
      </c>
      <c r="G55" s="49">
        <f>SUM('POSEBNI DIO 24-52'!K176,'POSEBNI DIO 24-52'!K179,'POSEBNI DIO 24-52'!K180:K180,'POSEBNI DIO 24-52'!K323,'POSEBNI DIO 24-52'!K208,'POSEBNI DIO 24-52'!K192,'POSEBNI DIO 24-52'!K183,'POSEBNI DIO 24-52'!K185,'POSEBNI DIO 24-52'!K188,'POSEBNI DIO 24-52'!K216,'POSEBNI DIO 24-52'!K925,'POSEBNI DIO 24-52'!K927:K928,'POSEBNI DIO 24-52'!K931,'POSEBNI DIO 24-52'!K936,'POSEBNI DIO 24-52'!K940,'POSEBNI DIO 24-52'!K933,)</f>
        <v>252000</v>
      </c>
      <c r="H55" s="49">
        <f>SUM('POSEBNI DIO 24-52'!L176,'POSEBNI DIO 24-52'!L179,'POSEBNI DIO 24-52'!L180:L180,'POSEBNI DIO 24-52'!L323,'POSEBNI DIO 24-52'!L208,'POSEBNI DIO 24-52'!L192,'POSEBNI DIO 24-52'!L183,'POSEBNI DIO 24-52'!L185,'POSEBNI DIO 24-52'!L188,'POSEBNI DIO 24-52'!L216,'POSEBNI DIO 24-52'!L925,'POSEBNI DIO 24-52'!L927:L928,'POSEBNI DIO 24-52'!L931,'POSEBNI DIO 24-52'!L936,'POSEBNI DIO 24-52'!L940,'POSEBNI DIO 24-52'!L933,)</f>
        <v>0</v>
      </c>
      <c r="I55" s="49">
        <f>SUM('POSEBNI DIO 24-52'!M176,'POSEBNI DIO 24-52'!M179,'POSEBNI DIO 24-52'!M180:M180,'POSEBNI DIO 24-52'!M323,'POSEBNI DIO 24-52'!M208,'POSEBNI DIO 24-52'!M192,'POSEBNI DIO 24-52'!M183,'POSEBNI DIO 24-52'!M185,'POSEBNI DIO 24-52'!M188,'POSEBNI DIO 24-52'!M216,'POSEBNI DIO 24-52'!M925,'POSEBNI DIO 24-52'!M927:M928,'POSEBNI DIO 24-52'!M931,'POSEBNI DIO 24-52'!M936,'POSEBNI DIO 24-52'!M940,'POSEBNI DIO 24-52'!M933,)</f>
        <v>0</v>
      </c>
      <c r="J55" s="49">
        <f>SUM('POSEBNI DIO 24-52'!N176,'POSEBNI DIO 24-52'!N179,'POSEBNI DIO 24-52'!N180:N180,'POSEBNI DIO 24-52'!N323,'POSEBNI DIO 24-52'!N208,'POSEBNI DIO 24-52'!N192,'POSEBNI DIO 24-52'!N183,'POSEBNI DIO 24-52'!N185,'POSEBNI DIO 24-52'!N188,'POSEBNI DIO 24-52'!N216,'POSEBNI DIO 24-52'!N925,'POSEBNI DIO 24-52'!N927:N928,'POSEBNI DIO 24-52'!N931,'POSEBNI DIO 24-52'!N936,'POSEBNI DIO 24-52'!N940,'POSEBNI DIO 24-52'!N933,)</f>
        <v>252000</v>
      </c>
      <c r="K55" s="49">
        <f>SUM('POSEBNI DIO 24-52'!O176,'POSEBNI DIO 24-52'!O179,'POSEBNI DIO 24-52'!O180:O180,'POSEBNI DIO 24-52'!O323,'POSEBNI DIO 24-52'!O208,'POSEBNI DIO 24-52'!O192,'POSEBNI DIO 24-52'!O183,'POSEBNI DIO 24-52'!O185,'POSEBNI DIO 24-52'!O188,'POSEBNI DIO 24-52'!O216,'POSEBNI DIO 24-52'!O925,'POSEBNI DIO 24-52'!O927:O928,'POSEBNI DIO 24-52'!O931,'POSEBNI DIO 24-52'!O936,'POSEBNI DIO 24-52'!O940,'POSEBNI DIO 24-52'!O933,)</f>
        <v>2670500</v>
      </c>
      <c r="L55" s="49">
        <f>SUM('POSEBNI DIO 24-52'!P176,'POSEBNI DIO 24-52'!P179,'POSEBNI DIO 24-52'!P180:P180,'POSEBNI DIO 24-52'!P323,'POSEBNI DIO 24-52'!P208,'POSEBNI DIO 24-52'!P192,'POSEBNI DIO 24-52'!P183,'POSEBNI DIO 24-52'!P185,'POSEBNI DIO 24-52'!P188,'POSEBNI DIO 24-52'!P216,'POSEBNI DIO 24-52'!P925,'POSEBNI DIO 24-52'!P927:P928,'POSEBNI DIO 24-52'!P931,'POSEBNI DIO 24-52'!P936,'POSEBNI DIO 24-52'!P940,'POSEBNI DIO 24-52'!P933,)</f>
        <v>2582500</v>
      </c>
    </row>
    <row r="56" spans="1:12" ht="24.75" customHeight="1">
      <c r="A56" s="45">
        <v>821</v>
      </c>
      <c r="B56" s="48" t="s">
        <v>576</v>
      </c>
      <c r="C56" s="49">
        <f>SUM('POSEBNI DIO 24-52'!G181,'POSEBNI DIO 24-52'!G200,'POSEBNI DIO 24-52'!G204:G205,,'POSEBNI DIO 24-52'!G177,'POSEBNI DIO 24-52'!G169:G170,'POSEBNI DIO 24-52'!G353,'POSEBNI DIO 24-52'!G182,'POSEBNI DIO 24-52'!G917:G918,'POSEBNI DIO 24-52'!G926,'POSEBNI DIO 24-52'!G929:G930,'POSEBNI DIO 24-52'!G943,'POSEBNI DIO 24-52'!G949,'POSEBNI DIO 24-52'!G97,'POSEBNI DIO 24-52'!G221,)</f>
        <v>1765500</v>
      </c>
      <c r="D56" s="49">
        <f>SUM('POSEBNI DIO 24-52'!H181,'POSEBNI DIO 24-52'!H200,'POSEBNI DIO 24-52'!H204:H205,,'POSEBNI DIO 24-52'!H177,'POSEBNI DIO 24-52'!H169:H170,'POSEBNI DIO 24-52'!H353,'POSEBNI DIO 24-52'!H182,'POSEBNI DIO 24-52'!H917:H918,'POSEBNI DIO 24-52'!H926,'POSEBNI DIO 24-52'!H929:H930,'POSEBNI DIO 24-52'!H943,'POSEBNI DIO 24-52'!H949,'POSEBNI DIO 24-52'!H97,'POSEBNI DIO 24-52'!H221,)</f>
        <v>0</v>
      </c>
      <c r="E56" s="49">
        <f>SUM('POSEBNI DIO 24-52'!I181,'POSEBNI DIO 24-52'!I200,'POSEBNI DIO 24-52'!I204:I205,,'POSEBNI DIO 24-52'!I177,'POSEBNI DIO 24-52'!I169:I170,'POSEBNI DIO 24-52'!I353,'POSEBNI DIO 24-52'!I182,'POSEBNI DIO 24-52'!I917:I918,'POSEBNI DIO 24-52'!I926,'POSEBNI DIO 24-52'!I929:I930,'POSEBNI DIO 24-52'!I943,'POSEBNI DIO 24-52'!I949,'POSEBNI DIO 24-52'!I97,'POSEBNI DIO 24-52'!I221,)</f>
        <v>70000</v>
      </c>
      <c r="F56" s="49">
        <f>SUM('POSEBNI DIO 24-52'!J181,'POSEBNI DIO 24-52'!J200,'POSEBNI DIO 24-52'!J204:J205,,'POSEBNI DIO 24-52'!J177,'POSEBNI DIO 24-52'!J169:J170,'POSEBNI DIO 24-52'!J353,'POSEBNI DIO 24-52'!J182,'POSEBNI DIO 24-52'!J917:J918,'POSEBNI DIO 24-52'!J926,'POSEBNI DIO 24-52'!J929:J930,'POSEBNI DIO 24-52'!J943,'POSEBNI DIO 24-52'!J949,'POSEBNI DIO 24-52'!J97,'POSEBNI DIO 24-52'!J221,)</f>
        <v>1695500</v>
      </c>
      <c r="G56" s="49">
        <f>SUM('POSEBNI DIO 24-52'!K181,'POSEBNI DIO 24-52'!K200,'POSEBNI DIO 24-52'!K204:K205,,'POSEBNI DIO 24-52'!K177,'POSEBNI DIO 24-52'!K169:K170,'POSEBNI DIO 24-52'!K353,'POSEBNI DIO 24-52'!K182,'POSEBNI DIO 24-52'!K917:K918,'POSEBNI DIO 24-52'!K926,'POSEBNI DIO 24-52'!K929:K930,'POSEBNI DIO 24-52'!K943,'POSEBNI DIO 24-52'!K949,'POSEBNI DIO 24-52'!K97,'POSEBNI DIO 24-52'!K221,)</f>
        <v>83064</v>
      </c>
      <c r="H56" s="49">
        <f>SUM('POSEBNI DIO 24-52'!L181,'POSEBNI DIO 24-52'!L200,'POSEBNI DIO 24-52'!L204:L205,,'POSEBNI DIO 24-52'!L177,'POSEBNI DIO 24-52'!L169:L170,'POSEBNI DIO 24-52'!L353,'POSEBNI DIO 24-52'!L182,'POSEBNI DIO 24-52'!L917:L918,'POSEBNI DIO 24-52'!L926,'POSEBNI DIO 24-52'!L929:L930,'POSEBNI DIO 24-52'!L943,'POSEBNI DIO 24-52'!L949,'POSEBNI DIO 24-52'!L97,'POSEBNI DIO 24-52'!L221,)</f>
        <v>0</v>
      </c>
      <c r="I56" s="49">
        <f>SUM('POSEBNI DIO 24-52'!M181,'POSEBNI DIO 24-52'!M200,'POSEBNI DIO 24-52'!M204:M205,,'POSEBNI DIO 24-52'!M177,'POSEBNI DIO 24-52'!M169:M170,'POSEBNI DIO 24-52'!M353,'POSEBNI DIO 24-52'!M182,'POSEBNI DIO 24-52'!M917:M918,'POSEBNI DIO 24-52'!M926,'POSEBNI DIO 24-52'!M929:M930,'POSEBNI DIO 24-52'!M943,'POSEBNI DIO 24-52'!M949,'POSEBNI DIO 24-52'!M97,'POSEBNI DIO 24-52'!M221,)</f>
        <v>0</v>
      </c>
      <c r="J56" s="49">
        <f>SUM('POSEBNI DIO 24-52'!N181,'POSEBNI DIO 24-52'!N200,'POSEBNI DIO 24-52'!N204:N205,,'POSEBNI DIO 24-52'!N177,'POSEBNI DIO 24-52'!N169:N170,'POSEBNI DIO 24-52'!N353,'POSEBNI DIO 24-52'!N182,'POSEBNI DIO 24-52'!N917:N918,'POSEBNI DIO 24-52'!N926,'POSEBNI DIO 24-52'!N929:N930,'POSEBNI DIO 24-52'!N943,'POSEBNI DIO 24-52'!N949,'POSEBNI DIO 24-52'!N97,'POSEBNI DIO 24-52'!N221,)</f>
        <v>83064</v>
      </c>
      <c r="K56" s="49">
        <f>SUM('POSEBNI DIO 24-52'!O181,'POSEBNI DIO 24-52'!O200,'POSEBNI DIO 24-52'!O204:O205,,'POSEBNI DIO 24-52'!O177,'POSEBNI DIO 24-52'!O169:O170,'POSEBNI DIO 24-52'!O353,'POSEBNI DIO 24-52'!O182,'POSEBNI DIO 24-52'!O917:O918,'POSEBNI DIO 24-52'!O926,'POSEBNI DIO 24-52'!O929:O930,'POSEBNI DIO 24-52'!O943,'POSEBNI DIO 24-52'!O949,'POSEBNI DIO 24-52'!O97,'POSEBNI DIO 24-52'!O221,)</f>
        <v>1848564</v>
      </c>
      <c r="L56" s="49">
        <f>SUM('POSEBNI DIO 24-52'!P181,'POSEBNI DIO 24-52'!P200,'POSEBNI DIO 24-52'!P204:P205,,'POSEBNI DIO 24-52'!P177,'POSEBNI DIO 24-52'!P169:P170,'POSEBNI DIO 24-52'!P353,'POSEBNI DIO 24-52'!P182,'POSEBNI DIO 24-52'!P917:P918,'POSEBNI DIO 24-52'!P926,'POSEBNI DIO 24-52'!P929:P930,'POSEBNI DIO 24-52'!P943,'POSEBNI DIO 24-52'!P949,'POSEBNI DIO 24-52'!P97,'POSEBNI DIO 24-52'!P221,)</f>
        <v>1778564</v>
      </c>
    </row>
    <row r="57" spans="1:12" ht="25.5" customHeight="1">
      <c r="A57" s="45">
        <v>831</v>
      </c>
      <c r="B57" s="48" t="s">
        <v>577</v>
      </c>
      <c r="C57" s="49">
        <f>SUM('POSEBNI DIO 24-52'!G206,'POSEBNI DIO 24-52'!G193,'POSEBNI DIO 24-52'!G941,)</f>
        <v>615000</v>
      </c>
      <c r="D57" s="49">
        <f>SUM('POSEBNI DIO 24-52'!H206,'POSEBNI DIO 24-52'!H193,'POSEBNI DIO 24-52'!H941,)</f>
        <v>0</v>
      </c>
      <c r="E57" s="49">
        <f>SUM('POSEBNI DIO 24-52'!I206,'POSEBNI DIO 24-52'!I193,'POSEBNI DIO 24-52'!I941,)</f>
        <v>0</v>
      </c>
      <c r="F57" s="49">
        <f>SUM('POSEBNI DIO 24-52'!J206,'POSEBNI DIO 24-52'!J193,'POSEBNI DIO 24-52'!J941,)</f>
        <v>615000</v>
      </c>
      <c r="G57" s="49">
        <f>SUM('POSEBNI DIO 24-52'!K206,'POSEBNI DIO 24-52'!K193,'POSEBNI DIO 24-52'!K941,)</f>
        <v>0</v>
      </c>
      <c r="H57" s="49">
        <f>SUM('POSEBNI DIO 24-52'!L206,'POSEBNI DIO 24-52'!L193,'POSEBNI DIO 24-52'!L941,)</f>
        <v>0</v>
      </c>
      <c r="I57" s="49">
        <f>SUM('POSEBNI DIO 24-52'!M206,'POSEBNI DIO 24-52'!M193,'POSEBNI DIO 24-52'!M941,)</f>
        <v>0</v>
      </c>
      <c r="J57" s="49">
        <f>SUM('POSEBNI DIO 24-52'!N206,'POSEBNI DIO 24-52'!N193,'POSEBNI DIO 24-52'!N941,)</f>
        <v>0</v>
      </c>
      <c r="K57" s="49">
        <f>SUM('POSEBNI DIO 24-52'!O206,'POSEBNI DIO 24-52'!O193,'POSEBNI DIO 24-52'!O941,)</f>
        <v>615000</v>
      </c>
      <c r="L57" s="49">
        <f>SUM('POSEBNI DIO 24-52'!P206,'POSEBNI DIO 24-52'!P193,'POSEBNI DIO 24-52'!P941,)</f>
        <v>615000</v>
      </c>
    </row>
    <row r="58" spans="1:12" ht="25.5" customHeight="1">
      <c r="A58" s="45">
        <v>841</v>
      </c>
      <c r="B58" s="48" t="s">
        <v>578</v>
      </c>
      <c r="C58" s="49">
        <f>SUM('POSEBNI DIO 24-52'!G948,'POSEBNI DIO 24-52'!G954,)</f>
        <v>60000</v>
      </c>
      <c r="D58" s="49">
        <f>SUM('POSEBNI DIO 24-52'!H948,'POSEBNI DIO 24-52'!H954,)</f>
        <v>0</v>
      </c>
      <c r="E58" s="49">
        <f>SUM('POSEBNI DIO 24-52'!I948,'POSEBNI DIO 24-52'!I954,)</f>
        <v>0</v>
      </c>
      <c r="F58" s="49">
        <f>SUM('POSEBNI DIO 24-52'!J948,'POSEBNI DIO 24-52'!J954,)</f>
        <v>60000</v>
      </c>
      <c r="G58" s="49">
        <f>SUM('POSEBNI DIO 24-52'!K948,'POSEBNI DIO 24-52'!K954,)</f>
        <v>0</v>
      </c>
      <c r="H58" s="49">
        <f>SUM('POSEBNI DIO 24-52'!L948,'POSEBNI DIO 24-52'!L954,)</f>
        <v>0</v>
      </c>
      <c r="I58" s="49">
        <f>SUM('POSEBNI DIO 24-52'!M948,'POSEBNI DIO 24-52'!M954,)</f>
        <v>0</v>
      </c>
      <c r="J58" s="49">
        <f>SUM('POSEBNI DIO 24-52'!N948,'POSEBNI DIO 24-52'!N954,)</f>
        <v>0</v>
      </c>
      <c r="K58" s="49">
        <f>SUM('POSEBNI DIO 24-52'!O948,'POSEBNI DIO 24-52'!O954,)</f>
        <v>60000</v>
      </c>
      <c r="L58" s="49">
        <f>SUM('POSEBNI DIO 24-52'!P948,'POSEBNI DIO 24-52'!P954,)</f>
        <v>60000</v>
      </c>
    </row>
    <row r="59" spans="1:12" ht="25.5" customHeight="1">
      <c r="A59" s="50">
        <v>861</v>
      </c>
      <c r="B59" s="855" t="s">
        <v>1030</v>
      </c>
      <c r="C59" s="49">
        <f>SUM('POSEBNI DIO 24-52'!G908:G916,'POSEBNI DIO 24-52'!G956,)</f>
        <v>292500</v>
      </c>
      <c r="D59" s="49">
        <f>SUM('POSEBNI DIO 24-52'!H908:H916,'POSEBNI DIO 24-52'!H956,)</f>
        <v>0</v>
      </c>
      <c r="E59" s="49">
        <f>SUM('POSEBNI DIO 24-52'!I908:I916,'POSEBNI DIO 24-52'!I956,)</f>
        <v>8000</v>
      </c>
      <c r="F59" s="49">
        <f>SUM('POSEBNI DIO 24-52'!J908:J916,'POSEBNI DIO 24-52'!J956,)</f>
        <v>284500</v>
      </c>
      <c r="G59" s="49">
        <f>SUM('POSEBNI DIO 24-52'!K908:K916,'POSEBNI DIO 24-52'!K956,)</f>
        <v>0</v>
      </c>
      <c r="H59" s="49">
        <f>SUM('POSEBNI DIO 24-52'!L908:L916,'POSEBNI DIO 24-52'!L956,)</f>
        <v>0</v>
      </c>
      <c r="I59" s="49">
        <f>SUM('POSEBNI DIO 24-52'!M908:M916,'POSEBNI DIO 24-52'!M956,)</f>
        <v>0</v>
      </c>
      <c r="J59" s="49">
        <f>SUM('POSEBNI DIO 24-52'!N908:N916,'POSEBNI DIO 24-52'!N956,)</f>
        <v>0</v>
      </c>
      <c r="K59" s="49">
        <f>SUM('POSEBNI DIO 24-52'!O908:O916,'POSEBNI DIO 24-52'!O956,)</f>
        <v>292500</v>
      </c>
      <c r="L59" s="49">
        <f>SUM('POSEBNI DIO 24-52'!P908:P916,'POSEBNI DIO 24-52'!P956,)</f>
        <v>284500</v>
      </c>
    </row>
    <row r="60" spans="1:12" ht="30" customHeight="1">
      <c r="A60" s="60">
        <v>900</v>
      </c>
      <c r="B60" s="63" t="s">
        <v>581</v>
      </c>
      <c r="C60" s="47">
        <f aca="true" t="shared" si="20" ref="C60:L60">SUM(C61:C62)</f>
        <v>2180000</v>
      </c>
      <c r="D60" s="47">
        <f t="shared" si="20"/>
        <v>100000</v>
      </c>
      <c r="E60" s="47">
        <f t="shared" si="20"/>
        <v>34300</v>
      </c>
      <c r="F60" s="47">
        <f t="shared" si="20"/>
        <v>2245700</v>
      </c>
      <c r="G60" s="47">
        <f t="shared" si="20"/>
        <v>2277046.6</v>
      </c>
      <c r="H60" s="47">
        <f t="shared" si="20"/>
        <v>0</v>
      </c>
      <c r="I60" s="47">
        <f t="shared" si="20"/>
        <v>100000</v>
      </c>
      <c r="J60" s="47">
        <f t="shared" si="20"/>
        <v>2177046.6</v>
      </c>
      <c r="K60" s="47">
        <f t="shared" si="20"/>
        <v>4457046.6</v>
      </c>
      <c r="L60" s="47">
        <f t="shared" si="20"/>
        <v>4422746.6</v>
      </c>
    </row>
    <row r="61" spans="1:12" ht="24.75" customHeight="1">
      <c r="A61" s="50">
        <v>911</v>
      </c>
      <c r="B61" s="51" t="s">
        <v>579</v>
      </c>
      <c r="C61" s="49">
        <f>SUM('POSEBNI DIO 24-52'!G296,'POSEBNI DIO 24-52'!G372,)</f>
        <v>2120000</v>
      </c>
      <c r="D61" s="49">
        <f>SUM('POSEBNI DIO 24-52'!H296,'POSEBNI DIO 24-52'!H372,)</f>
        <v>100000</v>
      </c>
      <c r="E61" s="49">
        <f>SUM('POSEBNI DIO 24-52'!I296,'POSEBNI DIO 24-52'!I372,)</f>
        <v>34300</v>
      </c>
      <c r="F61" s="49">
        <f>SUM('POSEBNI DIO 24-52'!J296,'POSEBNI DIO 24-52'!J372,)</f>
        <v>2185700</v>
      </c>
      <c r="G61" s="49">
        <f>SUM('POSEBNI DIO 24-52'!K296,'POSEBNI DIO 24-52'!K372,)</f>
        <v>2277046.6</v>
      </c>
      <c r="H61" s="49">
        <f>SUM('POSEBNI DIO 24-52'!L296,'POSEBNI DIO 24-52'!L372,)</f>
        <v>0</v>
      </c>
      <c r="I61" s="49">
        <f>SUM('POSEBNI DIO 24-52'!M296,'POSEBNI DIO 24-52'!M372,)</f>
        <v>100000</v>
      </c>
      <c r="J61" s="49">
        <f>SUM('POSEBNI DIO 24-52'!N296,'POSEBNI DIO 24-52'!N372,)</f>
        <v>2177046.6</v>
      </c>
      <c r="K61" s="49">
        <f>SUM('POSEBNI DIO 24-52'!O296,'POSEBNI DIO 24-52'!O372,)</f>
        <v>4397046.6</v>
      </c>
      <c r="L61" s="49">
        <f>SUM('POSEBNI DIO 24-52'!P296,'POSEBNI DIO 24-52'!P372,)</f>
        <v>4362746.6</v>
      </c>
    </row>
    <row r="62" spans="1:12" ht="24.75" customHeight="1">
      <c r="A62" s="45">
        <v>981</v>
      </c>
      <c r="B62" s="48" t="s">
        <v>580</v>
      </c>
      <c r="C62" s="49">
        <f>SUM('POSEBNI DIO 24-52'!G171,'POSEBNI DIO 24-52'!G919,)</f>
        <v>60000</v>
      </c>
      <c r="D62" s="49">
        <f>SUM('POSEBNI DIO 24-52'!H171,'POSEBNI DIO 24-52'!H919,)</f>
        <v>0</v>
      </c>
      <c r="E62" s="49">
        <f>SUM('POSEBNI DIO 24-52'!I171,'POSEBNI DIO 24-52'!I919,)</f>
        <v>0</v>
      </c>
      <c r="F62" s="49">
        <f>SUM('POSEBNI DIO 24-52'!J171,'POSEBNI DIO 24-52'!J919,)</f>
        <v>60000</v>
      </c>
      <c r="G62" s="49">
        <f>SUM('POSEBNI DIO 24-52'!K171,'POSEBNI DIO 24-52'!K919,)</f>
        <v>0</v>
      </c>
      <c r="H62" s="49">
        <f>SUM('POSEBNI DIO 24-52'!L171,'POSEBNI DIO 24-52'!L919,)</f>
        <v>0</v>
      </c>
      <c r="I62" s="49">
        <f>SUM('POSEBNI DIO 24-52'!M171,'POSEBNI DIO 24-52'!M919,)</f>
        <v>0</v>
      </c>
      <c r="J62" s="49">
        <f>SUM('POSEBNI DIO 24-52'!N171,'POSEBNI DIO 24-52'!N919,)</f>
        <v>0</v>
      </c>
      <c r="K62" s="49">
        <f>SUM('POSEBNI DIO 24-52'!O171,'POSEBNI DIO 24-52'!O919,)</f>
        <v>60000</v>
      </c>
      <c r="L62" s="49">
        <f>SUM('POSEBNI DIO 24-52'!P171,'POSEBNI DIO 24-52'!P919,)</f>
        <v>60000</v>
      </c>
    </row>
    <row r="63" spans="1:12" ht="28.5" customHeight="1">
      <c r="A63" s="56">
        <v>1000</v>
      </c>
      <c r="B63" s="64" t="s">
        <v>582</v>
      </c>
      <c r="C63" s="47">
        <f aca="true" t="shared" si="21" ref="C63:L63">SUM(C64:C68)</f>
        <v>4012800</v>
      </c>
      <c r="D63" s="47">
        <f t="shared" si="21"/>
        <v>1236043.37</v>
      </c>
      <c r="E63" s="47">
        <f t="shared" si="21"/>
        <v>76200</v>
      </c>
      <c r="F63" s="47">
        <f t="shared" si="21"/>
        <v>5172643.37</v>
      </c>
      <c r="G63" s="47">
        <f t="shared" si="21"/>
        <v>974000</v>
      </c>
      <c r="H63" s="47">
        <f t="shared" si="21"/>
        <v>0</v>
      </c>
      <c r="I63" s="47">
        <f t="shared" si="21"/>
        <v>0</v>
      </c>
      <c r="J63" s="47">
        <f t="shared" si="21"/>
        <v>974000</v>
      </c>
      <c r="K63" s="47">
        <f t="shared" si="21"/>
        <v>4986800</v>
      </c>
      <c r="L63" s="47">
        <f t="shared" si="21"/>
        <v>6146643.37</v>
      </c>
    </row>
    <row r="64" spans="1:12" ht="27.75" customHeight="1">
      <c r="A64" s="50">
        <v>1091</v>
      </c>
      <c r="B64" s="51" t="s">
        <v>583</v>
      </c>
      <c r="C64" s="49">
        <f>SUM('POSEBNI DIO 24-52'!G268,'POSEBNI DIO 24-52'!G172:G173,'POSEBNI DIO 24-52'!G202:G203,'POSEBNI DIO 24-52'!G211,'POSEBNI DIO 24-52'!G716,'POSEBNI DIO 24-52'!G175,'POSEBNI DIO 24-52'!G174,'POSEBNI DIO 24-52'!G196,'POSEBNI DIO 24-52'!G722:G722,'POSEBNI DIO 24-52'!G724,'POSEBNI DIO 24-52'!G689,'POSEBNI DIO 24-52'!G690,'POSEBNI DIO 24-52'!G186,'POSEBNI DIO 24-52'!G920,'POSEBNI DIO 24-52'!G934,'POSEBNI DIO 24-52'!G944,'POSEBNI DIO 24-52'!G950:G951,'POSEBNI DIO 24-52'!G922:G924,'POSEBNI DIO 24-52'!G426,'POSEBNI DIO 24-52'!G683,'POSEBNI DIO 24-52'!G380,'POSEBNI DIO 24-52'!G966:G967,)</f>
        <v>2494400</v>
      </c>
      <c r="D64" s="49">
        <f>SUM('POSEBNI DIO 24-52'!H268,'POSEBNI DIO 24-52'!H172:H173,'POSEBNI DIO 24-52'!H202:H203,'POSEBNI DIO 24-52'!H211,'POSEBNI DIO 24-52'!H716,'POSEBNI DIO 24-52'!H175,'POSEBNI DIO 24-52'!H174,'POSEBNI DIO 24-52'!H196,'POSEBNI DIO 24-52'!H722:H722,'POSEBNI DIO 24-52'!H724,'POSEBNI DIO 24-52'!H689,'POSEBNI DIO 24-52'!H690,'POSEBNI DIO 24-52'!H186,'POSEBNI DIO 24-52'!H920,'POSEBNI DIO 24-52'!H934,'POSEBNI DIO 24-52'!H944,'POSEBNI DIO 24-52'!H950:H951,'POSEBNI DIO 24-52'!H922:H924,'POSEBNI DIO 24-52'!H426,'POSEBNI DIO 24-52'!H683,'POSEBNI DIO 24-52'!H380,'POSEBNI DIO 24-52'!H966:H967,)</f>
        <v>1236043.37</v>
      </c>
      <c r="E64" s="49">
        <f>SUM('POSEBNI DIO 24-52'!I268,'POSEBNI DIO 24-52'!I172:I173,'POSEBNI DIO 24-52'!I202:I203,'POSEBNI DIO 24-52'!I211,'POSEBNI DIO 24-52'!I716,'POSEBNI DIO 24-52'!I175,'POSEBNI DIO 24-52'!I174,'POSEBNI DIO 24-52'!I196,'POSEBNI DIO 24-52'!I722:I722,'POSEBNI DIO 24-52'!I724,'POSEBNI DIO 24-52'!I689,'POSEBNI DIO 24-52'!I690,'POSEBNI DIO 24-52'!I186,'POSEBNI DIO 24-52'!I920,'POSEBNI DIO 24-52'!I934,'POSEBNI DIO 24-52'!I944,'POSEBNI DIO 24-52'!I950:I951,'POSEBNI DIO 24-52'!I922:I924,'POSEBNI DIO 24-52'!I426,'POSEBNI DIO 24-52'!I683,'POSEBNI DIO 24-52'!I380,'POSEBNI DIO 24-52'!I966:I967,)</f>
        <v>71000</v>
      </c>
      <c r="F64" s="49">
        <f>SUM('POSEBNI DIO 24-52'!J268,'POSEBNI DIO 24-52'!J172:J173,'POSEBNI DIO 24-52'!J202:J203,'POSEBNI DIO 24-52'!J211,'POSEBNI DIO 24-52'!J716,'POSEBNI DIO 24-52'!J175,'POSEBNI DIO 24-52'!J174,'POSEBNI DIO 24-52'!J196,'POSEBNI DIO 24-52'!J722:J722,'POSEBNI DIO 24-52'!J724,'POSEBNI DIO 24-52'!J689,'POSEBNI DIO 24-52'!J690,'POSEBNI DIO 24-52'!J186,'POSEBNI DIO 24-52'!J920,'POSEBNI DIO 24-52'!J934,'POSEBNI DIO 24-52'!J944,'POSEBNI DIO 24-52'!J950:J951,'POSEBNI DIO 24-52'!J922:J924,'POSEBNI DIO 24-52'!J426,'POSEBNI DIO 24-52'!J683,'POSEBNI DIO 24-52'!J380,'POSEBNI DIO 24-52'!J966:J967,)</f>
        <v>3659443.37</v>
      </c>
      <c r="G64" s="49">
        <f>SUM('POSEBNI DIO 24-52'!K268,'POSEBNI DIO 24-52'!K172:K173,'POSEBNI DIO 24-52'!K202:K203,'POSEBNI DIO 24-52'!K211,'POSEBNI DIO 24-52'!K716,'POSEBNI DIO 24-52'!K175,'POSEBNI DIO 24-52'!K174,'POSEBNI DIO 24-52'!K196,'POSEBNI DIO 24-52'!K722:K722,'POSEBNI DIO 24-52'!K724,'POSEBNI DIO 24-52'!K689,'POSEBNI DIO 24-52'!K690,'POSEBNI DIO 24-52'!K186,'POSEBNI DIO 24-52'!K920,'POSEBNI DIO 24-52'!K934,'POSEBNI DIO 24-52'!K944,'POSEBNI DIO 24-52'!K950:K951,'POSEBNI DIO 24-52'!K922:K924,'POSEBNI DIO 24-52'!K426,'POSEBNI DIO 24-52'!K683,'POSEBNI DIO 24-52'!K380,'POSEBNI DIO 24-52'!K966:K967,)</f>
        <v>75000</v>
      </c>
      <c r="H64" s="49">
        <f>SUM('POSEBNI DIO 24-52'!L268,'POSEBNI DIO 24-52'!L172:L173,'POSEBNI DIO 24-52'!L202:L203,'POSEBNI DIO 24-52'!L211,'POSEBNI DIO 24-52'!L716,'POSEBNI DIO 24-52'!L175,'POSEBNI DIO 24-52'!L174,'POSEBNI DIO 24-52'!L196,'POSEBNI DIO 24-52'!L722:L722,'POSEBNI DIO 24-52'!L724,'POSEBNI DIO 24-52'!L689,'POSEBNI DIO 24-52'!L690,'POSEBNI DIO 24-52'!L186,'POSEBNI DIO 24-52'!L920,'POSEBNI DIO 24-52'!L934,'POSEBNI DIO 24-52'!L944,'POSEBNI DIO 24-52'!L950:L951,'POSEBNI DIO 24-52'!L922:L924,'POSEBNI DIO 24-52'!L426,'POSEBNI DIO 24-52'!L683,'POSEBNI DIO 24-52'!L380,'POSEBNI DIO 24-52'!L966:L967,)</f>
        <v>0</v>
      </c>
      <c r="I64" s="49">
        <f>SUM('POSEBNI DIO 24-52'!M268,'POSEBNI DIO 24-52'!M172:M173,'POSEBNI DIO 24-52'!M202:M203,'POSEBNI DIO 24-52'!M211,'POSEBNI DIO 24-52'!M716,'POSEBNI DIO 24-52'!M175,'POSEBNI DIO 24-52'!M174,'POSEBNI DIO 24-52'!M196,'POSEBNI DIO 24-52'!M722:M722,'POSEBNI DIO 24-52'!M724,'POSEBNI DIO 24-52'!M689,'POSEBNI DIO 24-52'!M690,'POSEBNI DIO 24-52'!M186,'POSEBNI DIO 24-52'!M920,'POSEBNI DIO 24-52'!M934,'POSEBNI DIO 24-52'!M944,'POSEBNI DIO 24-52'!M950:M951,'POSEBNI DIO 24-52'!M922:M924,'POSEBNI DIO 24-52'!M426,'POSEBNI DIO 24-52'!M683,'POSEBNI DIO 24-52'!M380,'POSEBNI DIO 24-52'!M966:M967,)</f>
        <v>0</v>
      </c>
      <c r="J64" s="49">
        <f>SUM('POSEBNI DIO 24-52'!N268,'POSEBNI DIO 24-52'!N172:N173,'POSEBNI DIO 24-52'!N202:N203,'POSEBNI DIO 24-52'!N211,'POSEBNI DIO 24-52'!N716,'POSEBNI DIO 24-52'!N175,'POSEBNI DIO 24-52'!N174,'POSEBNI DIO 24-52'!N196,'POSEBNI DIO 24-52'!N722:N722,'POSEBNI DIO 24-52'!N724,'POSEBNI DIO 24-52'!N689,'POSEBNI DIO 24-52'!N690,'POSEBNI DIO 24-52'!N186,'POSEBNI DIO 24-52'!N920,'POSEBNI DIO 24-52'!N934,'POSEBNI DIO 24-52'!N944,'POSEBNI DIO 24-52'!N950:N951,'POSEBNI DIO 24-52'!N922:N924,'POSEBNI DIO 24-52'!N426,'POSEBNI DIO 24-52'!N683,'POSEBNI DIO 24-52'!N380,'POSEBNI DIO 24-52'!N966:N967,)</f>
        <v>75000</v>
      </c>
      <c r="K64" s="49">
        <f>SUM('POSEBNI DIO 24-52'!O268,'POSEBNI DIO 24-52'!O172:O173,'POSEBNI DIO 24-52'!O202:O203,'POSEBNI DIO 24-52'!O211,'POSEBNI DIO 24-52'!O716,'POSEBNI DIO 24-52'!O175,'POSEBNI DIO 24-52'!O174,'POSEBNI DIO 24-52'!O196,'POSEBNI DIO 24-52'!O722:O722,'POSEBNI DIO 24-52'!O724,'POSEBNI DIO 24-52'!O689,'POSEBNI DIO 24-52'!O690,'POSEBNI DIO 24-52'!O186,'POSEBNI DIO 24-52'!O920,'POSEBNI DIO 24-52'!O934,'POSEBNI DIO 24-52'!O944,'POSEBNI DIO 24-52'!O950:O951,'POSEBNI DIO 24-52'!O922:O924,'POSEBNI DIO 24-52'!O426,'POSEBNI DIO 24-52'!O683,'POSEBNI DIO 24-52'!O380,'POSEBNI DIO 24-52'!O966:O967,)</f>
        <v>2569400</v>
      </c>
      <c r="L64" s="49">
        <f>SUM('POSEBNI DIO 24-52'!P268,'POSEBNI DIO 24-52'!P172:P173,'POSEBNI DIO 24-52'!P202:P203,'POSEBNI DIO 24-52'!P211,'POSEBNI DIO 24-52'!P716,'POSEBNI DIO 24-52'!P175,'POSEBNI DIO 24-52'!P174,'POSEBNI DIO 24-52'!P196,'POSEBNI DIO 24-52'!P722:P722,'POSEBNI DIO 24-52'!P724,'POSEBNI DIO 24-52'!P689,'POSEBNI DIO 24-52'!P690,'POSEBNI DIO 24-52'!P186,'POSEBNI DIO 24-52'!P920,'POSEBNI DIO 24-52'!P934,'POSEBNI DIO 24-52'!P944,'POSEBNI DIO 24-52'!P950:P951,'POSEBNI DIO 24-52'!P922:P924,'POSEBNI DIO 24-52'!P426,'POSEBNI DIO 24-52'!P683,'POSEBNI DIO 24-52'!P380,'POSEBNI DIO 24-52'!P966:P967,)</f>
        <v>3734443.37</v>
      </c>
    </row>
    <row r="65" spans="1:12" ht="27" customHeight="1">
      <c r="A65" s="50">
        <v>1092</v>
      </c>
      <c r="B65" s="51" t="s">
        <v>584</v>
      </c>
      <c r="C65" s="49">
        <f>SUM('POSEBNI DIO 24-52'!G673:G679,'POSEBNI DIO 24-52'!G705,'POSEBNI DIO 24-52'!G680:G682,'POSEBNI DIO 24-52'!G691,'POSEBNI DIO 24-52'!G694,'POSEBNI DIO 24-52'!G684:G686,)</f>
        <v>1393400</v>
      </c>
      <c r="D65" s="49">
        <f>SUM('POSEBNI DIO 24-52'!H673:H679,'POSEBNI DIO 24-52'!H705,'POSEBNI DIO 24-52'!H680:H682,'POSEBNI DIO 24-52'!H691,'POSEBNI DIO 24-52'!H694,'POSEBNI DIO 24-52'!H684:H686,)</f>
        <v>0</v>
      </c>
      <c r="E65" s="49">
        <f>SUM('POSEBNI DIO 24-52'!I673:I679,'POSEBNI DIO 24-52'!I705,'POSEBNI DIO 24-52'!I680:I682,'POSEBNI DIO 24-52'!I691,'POSEBNI DIO 24-52'!I694,'POSEBNI DIO 24-52'!I684:I686,)</f>
        <v>5200</v>
      </c>
      <c r="F65" s="49">
        <f>SUM('POSEBNI DIO 24-52'!J673:J679,'POSEBNI DIO 24-52'!J705,'POSEBNI DIO 24-52'!J680:J682,'POSEBNI DIO 24-52'!J691,'POSEBNI DIO 24-52'!J694,'POSEBNI DIO 24-52'!J684:J686,)</f>
        <v>1388200</v>
      </c>
      <c r="G65" s="49">
        <f>SUM('POSEBNI DIO 24-52'!K673:K679,'POSEBNI DIO 24-52'!K705,'POSEBNI DIO 24-52'!K680:K682,'POSEBNI DIO 24-52'!K691,'POSEBNI DIO 24-52'!K694,'POSEBNI DIO 24-52'!K684:K686,)</f>
        <v>850000</v>
      </c>
      <c r="H65" s="49">
        <f>SUM('POSEBNI DIO 24-52'!L673:L679,'POSEBNI DIO 24-52'!L705,'POSEBNI DIO 24-52'!L680:L682,'POSEBNI DIO 24-52'!L691,'POSEBNI DIO 24-52'!L694,'POSEBNI DIO 24-52'!L684:L686,)</f>
        <v>0</v>
      </c>
      <c r="I65" s="49">
        <f>SUM('POSEBNI DIO 24-52'!M673:M679,'POSEBNI DIO 24-52'!M705,'POSEBNI DIO 24-52'!M680:M682,'POSEBNI DIO 24-52'!M691,'POSEBNI DIO 24-52'!M694,'POSEBNI DIO 24-52'!M684:M686,)</f>
        <v>0</v>
      </c>
      <c r="J65" s="49">
        <f>SUM('POSEBNI DIO 24-52'!N673:N679,'POSEBNI DIO 24-52'!N705,'POSEBNI DIO 24-52'!N680:N682,'POSEBNI DIO 24-52'!N691,'POSEBNI DIO 24-52'!N694,'POSEBNI DIO 24-52'!N684:N686,)</f>
        <v>850000</v>
      </c>
      <c r="K65" s="49">
        <f>SUM('POSEBNI DIO 24-52'!O673:O679,'POSEBNI DIO 24-52'!O705,'POSEBNI DIO 24-52'!O680:O682,'POSEBNI DIO 24-52'!O691,'POSEBNI DIO 24-52'!O694,'POSEBNI DIO 24-52'!O684:O686,)</f>
        <v>2243400</v>
      </c>
      <c r="L65" s="49">
        <f>SUM('POSEBNI DIO 24-52'!P673:P679,'POSEBNI DIO 24-52'!P705,'POSEBNI DIO 24-52'!P680:P682,'POSEBNI DIO 24-52'!P691,'POSEBNI DIO 24-52'!P694,'POSEBNI DIO 24-52'!P684:P686,)</f>
        <v>2238200</v>
      </c>
    </row>
    <row r="66" spans="1:12" ht="24.75" customHeight="1">
      <c r="A66" s="50">
        <v>1093</v>
      </c>
      <c r="B66" s="59" t="s">
        <v>585</v>
      </c>
      <c r="C66" s="65">
        <f>SUM('POSEBNI DIO 24-52'!G687,'POSEBNI DIO 24-52'!G688,'POSEBNI DIO 24-52'!G692:G692,)</f>
        <v>20000</v>
      </c>
      <c r="D66" s="65">
        <f>SUM('POSEBNI DIO 24-52'!H687,'POSEBNI DIO 24-52'!H688,'POSEBNI DIO 24-52'!H692:H692,)</f>
        <v>0</v>
      </c>
      <c r="E66" s="65">
        <f>SUM('POSEBNI DIO 24-52'!I687,'POSEBNI DIO 24-52'!I688,'POSEBNI DIO 24-52'!I692:I692,)</f>
        <v>0</v>
      </c>
      <c r="F66" s="65">
        <f>SUM('POSEBNI DIO 24-52'!J687,'POSEBNI DIO 24-52'!J688,'POSEBNI DIO 24-52'!J692:J692,)</f>
        <v>20000</v>
      </c>
      <c r="G66" s="65">
        <f>SUM('POSEBNI DIO 24-52'!K687,'POSEBNI DIO 24-52'!K688,'POSEBNI DIO 24-52'!K692:K692,)</f>
        <v>49000</v>
      </c>
      <c r="H66" s="65">
        <f>SUM('POSEBNI DIO 24-52'!L687,'POSEBNI DIO 24-52'!L688,'POSEBNI DIO 24-52'!L692:L692,)</f>
        <v>0</v>
      </c>
      <c r="I66" s="65">
        <f>SUM('POSEBNI DIO 24-52'!M687,'POSEBNI DIO 24-52'!M688,'POSEBNI DIO 24-52'!M692:M692,)</f>
        <v>0</v>
      </c>
      <c r="J66" s="65">
        <f>SUM('POSEBNI DIO 24-52'!N687,'POSEBNI DIO 24-52'!N688,'POSEBNI DIO 24-52'!N692:N692,)</f>
        <v>49000</v>
      </c>
      <c r="K66" s="65">
        <f>SUM('POSEBNI DIO 24-52'!O687,'POSEBNI DIO 24-52'!O688,'POSEBNI DIO 24-52'!O692:O692,)</f>
        <v>69000</v>
      </c>
      <c r="L66" s="65">
        <f>SUM('POSEBNI DIO 24-52'!P687,'POSEBNI DIO 24-52'!P688,'POSEBNI DIO 24-52'!P692:P692,)</f>
        <v>69000</v>
      </c>
    </row>
    <row r="67" spans="1:12" ht="24.75" customHeight="1">
      <c r="A67" s="50">
        <v>1094</v>
      </c>
      <c r="B67" s="59" t="s">
        <v>852</v>
      </c>
      <c r="C67" s="65">
        <f>SUM('POSEBNI DIO 24-52'!G199,'POSEBNI DIO 24-52'!G946,)</f>
        <v>5000</v>
      </c>
      <c r="D67" s="65">
        <f>SUM('POSEBNI DIO 24-52'!H199,'POSEBNI DIO 24-52'!H946,)</f>
        <v>0</v>
      </c>
      <c r="E67" s="65">
        <f>SUM('POSEBNI DIO 24-52'!I199,'POSEBNI DIO 24-52'!I946,)</f>
        <v>0</v>
      </c>
      <c r="F67" s="65">
        <f>SUM('POSEBNI DIO 24-52'!J199,'POSEBNI DIO 24-52'!J946,)</f>
        <v>5000</v>
      </c>
      <c r="G67" s="65">
        <f>SUM('POSEBNI DIO 24-52'!K199,'POSEBNI DIO 24-52'!K946,)</f>
        <v>0</v>
      </c>
      <c r="H67" s="65">
        <f>SUM('POSEBNI DIO 24-52'!L199,'POSEBNI DIO 24-52'!L946,)</f>
        <v>0</v>
      </c>
      <c r="I67" s="65">
        <f>SUM('POSEBNI DIO 24-52'!M199,'POSEBNI DIO 24-52'!M946,)</f>
        <v>0</v>
      </c>
      <c r="J67" s="65">
        <f>SUM('POSEBNI DIO 24-52'!N199,'POSEBNI DIO 24-52'!N946,)</f>
        <v>0</v>
      </c>
      <c r="K67" s="65">
        <f>SUM('POSEBNI DIO 24-52'!O199,'POSEBNI DIO 24-52'!O946,)</f>
        <v>5000</v>
      </c>
      <c r="L67" s="65">
        <f>SUM('POSEBNI DIO 24-52'!P199,'POSEBNI DIO 24-52'!P946,)</f>
        <v>5000</v>
      </c>
    </row>
    <row r="68" spans="1:12" ht="24.75" customHeight="1" thickBot="1">
      <c r="A68" s="52">
        <v>1095</v>
      </c>
      <c r="B68" s="855" t="s">
        <v>1135</v>
      </c>
      <c r="C68" s="54">
        <f>SUM('POSEBNI DIO 24-52'!G921)</f>
        <v>100000</v>
      </c>
      <c r="D68" s="54">
        <f>SUM('POSEBNI DIO 24-52'!H921)</f>
        <v>0</v>
      </c>
      <c r="E68" s="54">
        <f>SUM('POSEBNI DIO 24-52'!I921)</f>
        <v>0</v>
      </c>
      <c r="F68" s="54">
        <f>SUM('POSEBNI DIO 24-52'!J921)</f>
        <v>100000</v>
      </c>
      <c r="G68" s="54">
        <f>SUM('POSEBNI DIO 24-52'!K921)</f>
        <v>0</v>
      </c>
      <c r="H68" s="54">
        <f>SUM('POSEBNI DIO 24-52'!L921)</f>
        <v>0</v>
      </c>
      <c r="I68" s="54">
        <f>SUM('POSEBNI DIO 24-52'!M921)</f>
        <v>0</v>
      </c>
      <c r="J68" s="54">
        <f>SUM('POSEBNI DIO 24-52'!N921)</f>
        <v>0</v>
      </c>
      <c r="K68" s="54">
        <f>SUM('POSEBNI DIO 24-52'!O921)</f>
        <v>100000</v>
      </c>
      <c r="L68" s="54">
        <f>SUM('POSEBNI DIO 24-52'!P921)</f>
        <v>100000</v>
      </c>
    </row>
    <row r="69" spans="1:12" ht="24.75" customHeight="1">
      <c r="A69" s="1113"/>
      <c r="B69" s="1116"/>
      <c r="C69" s="1114"/>
      <c r="D69" s="1114"/>
      <c r="E69" s="1114"/>
      <c r="F69" s="1114"/>
      <c r="G69" s="1114"/>
      <c r="H69" s="1114"/>
      <c r="I69" s="1114"/>
      <c r="J69" s="1114"/>
      <c r="K69" s="1114"/>
      <c r="L69" s="1115"/>
    </row>
    <row r="70" spans="2:12" ht="23.25" customHeight="1" thickBot="1">
      <c r="B70" s="39" t="s">
        <v>169</v>
      </c>
      <c r="C70" s="55"/>
      <c r="D70" s="55"/>
      <c r="E70" s="55"/>
      <c r="F70" s="55"/>
      <c r="G70" s="55"/>
      <c r="H70" s="55"/>
      <c r="I70" s="55"/>
      <c r="J70" s="55"/>
      <c r="K70" s="55"/>
      <c r="L70" s="1005"/>
    </row>
    <row r="71" spans="1:12" ht="224.25" customHeight="1">
      <c r="A71" s="40" t="s">
        <v>187</v>
      </c>
      <c r="B71" s="41" t="s">
        <v>701</v>
      </c>
      <c r="C71" s="9" t="s">
        <v>1132</v>
      </c>
      <c r="D71" s="9" t="s">
        <v>1356</v>
      </c>
      <c r="E71" s="9" t="s">
        <v>1357</v>
      </c>
      <c r="F71" s="9" t="s">
        <v>1358</v>
      </c>
      <c r="G71" s="9" t="s">
        <v>1186</v>
      </c>
      <c r="H71" s="9" t="s">
        <v>1359</v>
      </c>
      <c r="I71" s="9" t="s">
        <v>1360</v>
      </c>
      <c r="J71" s="9" t="s">
        <v>1361</v>
      </c>
      <c r="K71" s="9" t="s">
        <v>1133</v>
      </c>
      <c r="L71" s="9" t="s">
        <v>1355</v>
      </c>
    </row>
    <row r="72" spans="1:12" ht="18">
      <c r="A72" s="42">
        <v>0</v>
      </c>
      <c r="B72" s="66">
        <v>1</v>
      </c>
      <c r="C72" s="44">
        <v>2</v>
      </c>
      <c r="D72" s="44">
        <v>3</v>
      </c>
      <c r="E72" s="44">
        <v>4</v>
      </c>
      <c r="F72" s="44">
        <v>5</v>
      </c>
      <c r="G72" s="44">
        <v>6</v>
      </c>
      <c r="H72" s="44">
        <v>7</v>
      </c>
      <c r="I72" s="44">
        <v>8</v>
      </c>
      <c r="J72" s="44">
        <v>9</v>
      </c>
      <c r="K72" s="44">
        <v>10</v>
      </c>
      <c r="L72" s="1004">
        <v>11</v>
      </c>
    </row>
    <row r="73" spans="1:12" ht="27" customHeight="1">
      <c r="A73" s="56"/>
      <c r="B73" s="46" t="s">
        <v>227</v>
      </c>
      <c r="C73" s="47">
        <f aca="true" t="shared" si="22" ref="C73:L73">SUM(C74,C81,C83,C92,C98,C104,C108,C110,C112,C117,C123,C125,C129,C77,C127,C131,)</f>
        <v>68357479.25999999</v>
      </c>
      <c r="D73" s="47">
        <f t="shared" si="22"/>
        <v>6144043.37</v>
      </c>
      <c r="E73" s="47">
        <f t="shared" si="22"/>
        <v>6001252.1</v>
      </c>
      <c r="F73" s="47">
        <f t="shared" si="22"/>
        <v>68500270.53</v>
      </c>
      <c r="G73" s="47">
        <f t="shared" si="22"/>
        <v>8431184.23</v>
      </c>
      <c r="H73" s="47">
        <f t="shared" si="22"/>
        <v>11059.2</v>
      </c>
      <c r="I73" s="47">
        <f t="shared" si="22"/>
        <v>1107850</v>
      </c>
      <c r="J73" s="47">
        <f t="shared" si="22"/>
        <v>7334393.43</v>
      </c>
      <c r="K73" s="47">
        <f t="shared" si="22"/>
        <v>76788663.49</v>
      </c>
      <c r="L73" s="47">
        <f t="shared" si="22"/>
        <v>75834663.96</v>
      </c>
    </row>
    <row r="74" spans="1:12" ht="29.25" customHeight="1">
      <c r="A74" s="67" t="s">
        <v>125</v>
      </c>
      <c r="B74" s="57" t="s">
        <v>438</v>
      </c>
      <c r="C74" s="47">
        <f aca="true" t="shared" si="23" ref="C74:L74">SUM(C75:C76)</f>
        <v>1760100</v>
      </c>
      <c r="D74" s="47">
        <f t="shared" si="23"/>
        <v>40000</v>
      </c>
      <c r="E74" s="47">
        <f t="shared" si="23"/>
        <v>8000</v>
      </c>
      <c r="F74" s="47">
        <f t="shared" si="23"/>
        <v>1792100</v>
      </c>
      <c r="G74" s="47">
        <f t="shared" si="23"/>
        <v>0</v>
      </c>
      <c r="H74" s="47">
        <f t="shared" si="23"/>
        <v>0</v>
      </c>
      <c r="I74" s="47">
        <f t="shared" si="23"/>
        <v>0</v>
      </c>
      <c r="J74" s="47">
        <f t="shared" si="23"/>
        <v>0</v>
      </c>
      <c r="K74" s="47">
        <f t="shared" si="23"/>
        <v>1760100</v>
      </c>
      <c r="L74" s="47">
        <f t="shared" si="23"/>
        <v>1792100</v>
      </c>
    </row>
    <row r="75" spans="1:12" ht="24.75" customHeight="1">
      <c r="A75" s="68" t="s">
        <v>123</v>
      </c>
      <c r="B75" s="48" t="s">
        <v>438</v>
      </c>
      <c r="C75" s="49">
        <f>'POSEBNI DIO 24-52'!G54</f>
        <v>1595000</v>
      </c>
      <c r="D75" s="49">
        <f>'POSEBNI DIO 24-52'!H54</f>
        <v>0</v>
      </c>
      <c r="E75" s="49">
        <f>'POSEBNI DIO 24-52'!I54</f>
        <v>8000</v>
      </c>
      <c r="F75" s="49">
        <f>'POSEBNI DIO 24-52'!J54</f>
        <v>1587000</v>
      </c>
      <c r="G75" s="49">
        <f>'POSEBNI DIO 24-52'!K54</f>
        <v>0</v>
      </c>
      <c r="H75" s="49">
        <f>'POSEBNI DIO 24-52'!L54</f>
        <v>0</v>
      </c>
      <c r="I75" s="49">
        <f>'POSEBNI DIO 24-52'!M54</f>
        <v>0</v>
      </c>
      <c r="J75" s="49">
        <f>'POSEBNI DIO 24-52'!N54</f>
        <v>0</v>
      </c>
      <c r="K75" s="49">
        <f>'POSEBNI DIO 24-52'!O54</f>
        <v>1595000</v>
      </c>
      <c r="L75" s="49">
        <f>'POSEBNI DIO 24-52'!P54</f>
        <v>1587000</v>
      </c>
    </row>
    <row r="76" spans="1:12" ht="27.75" customHeight="1">
      <c r="A76" s="68" t="s">
        <v>124</v>
      </c>
      <c r="B76" s="48" t="s">
        <v>439</v>
      </c>
      <c r="C76" s="49">
        <f>'POSEBNI DIO 24-52'!G72</f>
        <v>165100</v>
      </c>
      <c r="D76" s="49">
        <f>'POSEBNI DIO 24-52'!H72</f>
        <v>40000</v>
      </c>
      <c r="E76" s="49">
        <f>'POSEBNI DIO 24-52'!I72</f>
        <v>0</v>
      </c>
      <c r="F76" s="49">
        <f>'POSEBNI DIO 24-52'!J72</f>
        <v>205100</v>
      </c>
      <c r="G76" s="49">
        <f>'POSEBNI DIO 24-52'!K72</f>
        <v>0</v>
      </c>
      <c r="H76" s="49">
        <f>'POSEBNI DIO 24-52'!L72</f>
        <v>0</v>
      </c>
      <c r="I76" s="49">
        <f>'POSEBNI DIO 24-52'!M72</f>
        <v>0</v>
      </c>
      <c r="J76" s="49">
        <f>'POSEBNI DIO 24-52'!N72</f>
        <v>0</v>
      </c>
      <c r="K76" s="49">
        <f>'POSEBNI DIO 24-52'!O72</f>
        <v>165100</v>
      </c>
      <c r="L76" s="49">
        <f>'POSEBNI DIO 24-52'!P72</f>
        <v>205100</v>
      </c>
    </row>
    <row r="77" spans="1:12" ht="32.25" customHeight="1">
      <c r="A77" s="67" t="s">
        <v>4</v>
      </c>
      <c r="B77" s="64" t="s">
        <v>731</v>
      </c>
      <c r="C77" s="47">
        <f aca="true" t="shared" si="24" ref="C77:L77">SUM(C78:C80)</f>
        <v>1439600</v>
      </c>
      <c r="D77" s="47">
        <f t="shared" si="24"/>
        <v>0</v>
      </c>
      <c r="E77" s="47">
        <f t="shared" si="24"/>
        <v>21000</v>
      </c>
      <c r="F77" s="47">
        <f t="shared" si="24"/>
        <v>1418600</v>
      </c>
      <c r="G77" s="47">
        <f t="shared" si="24"/>
        <v>219331.31</v>
      </c>
      <c r="H77" s="47">
        <f t="shared" si="24"/>
        <v>0</v>
      </c>
      <c r="I77" s="47">
        <f t="shared" si="24"/>
        <v>0</v>
      </c>
      <c r="J77" s="47">
        <f t="shared" si="24"/>
        <v>219331.31</v>
      </c>
      <c r="K77" s="47">
        <f t="shared" si="24"/>
        <v>1658931.31</v>
      </c>
      <c r="L77" s="47">
        <f t="shared" si="24"/>
        <v>1637931.31</v>
      </c>
    </row>
    <row r="78" spans="1:12" ht="30" customHeight="1">
      <c r="A78" s="68" t="s">
        <v>5</v>
      </c>
      <c r="B78" s="58" t="s">
        <v>731</v>
      </c>
      <c r="C78" s="49">
        <f>SUM('POSEBNI DIO 24-52'!G100,)</f>
        <v>1287300</v>
      </c>
      <c r="D78" s="49">
        <f>SUM('POSEBNI DIO 24-52'!H100,)</f>
        <v>0</v>
      </c>
      <c r="E78" s="49">
        <f>SUM('POSEBNI DIO 24-52'!I100,)</f>
        <v>21000</v>
      </c>
      <c r="F78" s="49">
        <f>SUM('POSEBNI DIO 24-52'!J100,)</f>
        <v>1266300</v>
      </c>
      <c r="G78" s="49">
        <f>SUM('POSEBNI DIO 24-52'!K100,)</f>
        <v>3731.31</v>
      </c>
      <c r="H78" s="49">
        <f>SUM('POSEBNI DIO 24-52'!L100,)</f>
        <v>0</v>
      </c>
      <c r="I78" s="49">
        <f>SUM('POSEBNI DIO 24-52'!M100,)</f>
        <v>0</v>
      </c>
      <c r="J78" s="49">
        <f>SUM('POSEBNI DIO 24-52'!N100,)</f>
        <v>3731.31</v>
      </c>
      <c r="K78" s="49">
        <f>SUM('POSEBNI DIO 24-52'!O100,)</f>
        <v>1291031.31</v>
      </c>
      <c r="L78" s="49">
        <f>SUM('POSEBNI DIO 24-52'!P100,)</f>
        <v>1270031.31</v>
      </c>
    </row>
    <row r="79" spans="1:12" ht="25.5" customHeight="1">
      <c r="A79" s="68" t="s">
        <v>6</v>
      </c>
      <c r="B79" s="48" t="s">
        <v>684</v>
      </c>
      <c r="C79" s="49">
        <f>SUM('POSEBNI DIO 24-52'!G110,)</f>
        <v>150000</v>
      </c>
      <c r="D79" s="49">
        <f>SUM('POSEBNI DIO 24-52'!H110,)</f>
        <v>0</v>
      </c>
      <c r="E79" s="49">
        <f>SUM('POSEBNI DIO 24-52'!I110,)</f>
        <v>0</v>
      </c>
      <c r="F79" s="49">
        <f>SUM('POSEBNI DIO 24-52'!J110,)</f>
        <v>150000</v>
      </c>
      <c r="G79" s="49">
        <f>SUM('POSEBNI DIO 24-52'!K110,)</f>
        <v>0</v>
      </c>
      <c r="H79" s="49">
        <f>SUM('POSEBNI DIO 24-52'!L110,)</f>
        <v>0</v>
      </c>
      <c r="I79" s="49">
        <f>SUM('POSEBNI DIO 24-52'!M110,)</f>
        <v>0</v>
      </c>
      <c r="J79" s="49">
        <f>SUM('POSEBNI DIO 24-52'!N110,)</f>
        <v>0</v>
      </c>
      <c r="K79" s="49">
        <f>SUM('POSEBNI DIO 24-52'!O110,)</f>
        <v>150000</v>
      </c>
      <c r="L79" s="49">
        <f>SUM('POSEBNI DIO 24-52'!P110,)</f>
        <v>150000</v>
      </c>
    </row>
    <row r="80" spans="1:12" ht="27.75" customHeight="1">
      <c r="A80" s="68" t="s">
        <v>7</v>
      </c>
      <c r="B80" s="48" t="s">
        <v>483</v>
      </c>
      <c r="C80" s="49">
        <f>SUM('POSEBNI DIO 24-52'!G128)</f>
        <v>2300</v>
      </c>
      <c r="D80" s="49">
        <f>SUM('POSEBNI DIO 24-52'!H128)</f>
        <v>0</v>
      </c>
      <c r="E80" s="49">
        <f>SUM('POSEBNI DIO 24-52'!I128)</f>
        <v>0</v>
      </c>
      <c r="F80" s="49">
        <f>SUM('POSEBNI DIO 24-52'!J128)</f>
        <v>2300</v>
      </c>
      <c r="G80" s="49">
        <f>SUM('POSEBNI DIO 24-52'!K128)</f>
        <v>215600</v>
      </c>
      <c r="H80" s="49">
        <f>SUM('POSEBNI DIO 24-52'!L128)</f>
        <v>0</v>
      </c>
      <c r="I80" s="49">
        <f>SUM('POSEBNI DIO 24-52'!M128)</f>
        <v>0</v>
      </c>
      <c r="J80" s="49">
        <f>SUM('POSEBNI DIO 24-52'!N128)</f>
        <v>215600</v>
      </c>
      <c r="K80" s="49">
        <f>SUM('POSEBNI DIO 24-52'!O128)</f>
        <v>217900</v>
      </c>
      <c r="L80" s="49">
        <f>SUM('POSEBNI DIO 24-52'!P128)</f>
        <v>217900</v>
      </c>
    </row>
    <row r="81" spans="1:12" ht="22.5" customHeight="1">
      <c r="A81" s="67" t="s">
        <v>138</v>
      </c>
      <c r="B81" s="64" t="s">
        <v>139</v>
      </c>
      <c r="C81" s="47">
        <f aca="true" t="shared" si="25" ref="C81:L81">SUM(C82,)</f>
        <v>1242173.92</v>
      </c>
      <c r="D81" s="47">
        <f t="shared" si="25"/>
        <v>0</v>
      </c>
      <c r="E81" s="47">
        <f t="shared" si="25"/>
        <v>11000</v>
      </c>
      <c r="F81" s="47">
        <f t="shared" si="25"/>
        <v>1231173.92</v>
      </c>
      <c r="G81" s="47">
        <f t="shared" si="25"/>
        <v>0</v>
      </c>
      <c r="H81" s="47">
        <f t="shared" si="25"/>
        <v>0</v>
      </c>
      <c r="I81" s="47">
        <f t="shared" si="25"/>
        <v>0</v>
      </c>
      <c r="J81" s="47">
        <f t="shared" si="25"/>
        <v>0</v>
      </c>
      <c r="K81" s="47">
        <f t="shared" si="25"/>
        <v>1242173.92</v>
      </c>
      <c r="L81" s="47">
        <f t="shared" si="25"/>
        <v>1231173.92</v>
      </c>
    </row>
    <row r="82" spans="1:12" ht="29.25" customHeight="1">
      <c r="A82" s="68" t="s">
        <v>136</v>
      </c>
      <c r="B82" s="48" t="s">
        <v>260</v>
      </c>
      <c r="C82" s="49">
        <f>SUM('POSEBNI DIO 24-52'!G149,)</f>
        <v>1242173.92</v>
      </c>
      <c r="D82" s="49">
        <f>SUM('POSEBNI DIO 24-52'!H149,)</f>
        <v>0</v>
      </c>
      <c r="E82" s="49">
        <f>SUM('POSEBNI DIO 24-52'!I149,)</f>
        <v>11000</v>
      </c>
      <c r="F82" s="49">
        <f>SUM('POSEBNI DIO 24-52'!J149,)</f>
        <v>1231173.92</v>
      </c>
      <c r="G82" s="49">
        <f>SUM('POSEBNI DIO 24-52'!K149,)</f>
        <v>0</v>
      </c>
      <c r="H82" s="49">
        <f>SUM('POSEBNI DIO 24-52'!L149,)</f>
        <v>0</v>
      </c>
      <c r="I82" s="49">
        <f>SUM('POSEBNI DIO 24-52'!M149,)</f>
        <v>0</v>
      </c>
      <c r="J82" s="49">
        <f>SUM('POSEBNI DIO 24-52'!N149,)</f>
        <v>0</v>
      </c>
      <c r="K82" s="49">
        <f>SUM('POSEBNI DIO 24-52'!O149,)</f>
        <v>1242173.92</v>
      </c>
      <c r="L82" s="49">
        <f>SUM('POSEBNI DIO 24-52'!P149,)</f>
        <v>1231173.92</v>
      </c>
    </row>
    <row r="83" spans="1:12" ht="54.75" customHeight="1">
      <c r="A83" s="67" t="s">
        <v>704</v>
      </c>
      <c r="B83" s="69" t="s">
        <v>1074</v>
      </c>
      <c r="C83" s="47">
        <f>SUM(C84:C91,)</f>
        <v>7722165.289999999</v>
      </c>
      <c r="D83" s="47">
        <f aca="true" t="shared" si="26" ref="D83:L83">SUM(D84:D91,)</f>
        <v>1374000</v>
      </c>
      <c r="E83" s="47">
        <f t="shared" si="26"/>
        <v>358300</v>
      </c>
      <c r="F83" s="47">
        <f t="shared" si="26"/>
        <v>8737865.29</v>
      </c>
      <c r="G83" s="47">
        <f t="shared" si="26"/>
        <v>2783573.77</v>
      </c>
      <c r="H83" s="47">
        <f t="shared" si="26"/>
        <v>0</v>
      </c>
      <c r="I83" s="47">
        <f t="shared" si="26"/>
        <v>100000</v>
      </c>
      <c r="J83" s="47">
        <f t="shared" si="26"/>
        <v>2683573.77</v>
      </c>
      <c r="K83" s="47">
        <f t="shared" si="26"/>
        <v>10505739.059999999</v>
      </c>
      <c r="L83" s="47">
        <f t="shared" si="26"/>
        <v>11421439.059999999</v>
      </c>
    </row>
    <row r="84" spans="1:12" ht="27.75" customHeight="1">
      <c r="A84" s="70" t="s">
        <v>137</v>
      </c>
      <c r="B84" s="1032" t="s">
        <v>1075</v>
      </c>
      <c r="C84" s="49">
        <f>SUM('POSEBNI DIO 24-52'!G223,)</f>
        <v>2782361.5</v>
      </c>
      <c r="D84" s="49">
        <f>SUM('POSEBNI DIO 24-52'!H223,)</f>
        <v>582000</v>
      </c>
      <c r="E84" s="49">
        <f>SUM('POSEBNI DIO 24-52'!I223,)</f>
        <v>80000</v>
      </c>
      <c r="F84" s="49">
        <f>SUM('POSEBNI DIO 24-52'!J223,)</f>
        <v>3284361.5</v>
      </c>
      <c r="G84" s="49">
        <f>SUM('POSEBNI DIO 24-52'!K223,)</f>
        <v>0</v>
      </c>
      <c r="H84" s="49">
        <f>SUM('POSEBNI DIO 24-52'!L223,)</f>
        <v>0</v>
      </c>
      <c r="I84" s="49">
        <f>SUM('POSEBNI DIO 24-52'!M223,)</f>
        <v>0</v>
      </c>
      <c r="J84" s="49">
        <f>SUM('POSEBNI DIO 24-52'!N223,)</f>
        <v>0</v>
      </c>
      <c r="K84" s="49">
        <f>SUM('POSEBNI DIO 24-52'!O223,)</f>
        <v>2782361.5</v>
      </c>
      <c r="L84" s="49">
        <f>SUM('POSEBNI DIO 24-52'!P223,)</f>
        <v>3284361.5</v>
      </c>
    </row>
    <row r="85" spans="1:12" ht="41.25" customHeight="1">
      <c r="A85" s="1031" t="s">
        <v>137</v>
      </c>
      <c r="B85" s="1032" t="s">
        <v>1026</v>
      </c>
      <c r="C85" s="49">
        <f>SUM('POSEBNI DIO 24-52'!G240)</f>
        <v>229422.36</v>
      </c>
      <c r="D85" s="49">
        <f>SUM('POSEBNI DIO 24-52'!H240)</f>
        <v>0</v>
      </c>
      <c r="E85" s="49">
        <f>SUM('POSEBNI DIO 24-52'!I240)</f>
        <v>0</v>
      </c>
      <c r="F85" s="49">
        <f>SUM('POSEBNI DIO 24-52'!J240)</f>
        <v>229422.36</v>
      </c>
      <c r="G85" s="49">
        <f>SUM('POSEBNI DIO 24-52'!K240)</f>
        <v>25000</v>
      </c>
      <c r="H85" s="49">
        <f>SUM('POSEBNI DIO 24-52'!L240)</f>
        <v>0</v>
      </c>
      <c r="I85" s="49">
        <f>SUM('POSEBNI DIO 24-52'!M240)</f>
        <v>0</v>
      </c>
      <c r="J85" s="49">
        <f>SUM('POSEBNI DIO 24-52'!N240)</f>
        <v>25000</v>
      </c>
      <c r="K85" s="49">
        <f>SUM('POSEBNI DIO 24-52'!O240)</f>
        <v>254422.36</v>
      </c>
      <c r="L85" s="49">
        <f>SUM('POSEBNI DIO 24-52'!P240)</f>
        <v>254422.36</v>
      </c>
    </row>
    <row r="86" spans="1:12" ht="28.5" customHeight="1">
      <c r="A86" s="70" t="s">
        <v>247</v>
      </c>
      <c r="B86" s="71" t="s">
        <v>321</v>
      </c>
      <c r="C86" s="49">
        <f>SUM('POSEBNI DIO 24-52'!G268,)</f>
        <v>1150200</v>
      </c>
      <c r="D86" s="49">
        <f>SUM('POSEBNI DIO 24-52'!H268,)</f>
        <v>2000</v>
      </c>
      <c r="E86" s="49">
        <f>SUM('POSEBNI DIO 24-52'!I268,)</f>
        <v>71000</v>
      </c>
      <c r="F86" s="49">
        <f>SUM('POSEBNI DIO 24-52'!J268,)</f>
        <v>1081200</v>
      </c>
      <c r="G86" s="49">
        <f>SUM('POSEBNI DIO 24-52'!K268,)</f>
        <v>75000</v>
      </c>
      <c r="H86" s="49">
        <f>SUM('POSEBNI DIO 24-52'!L268,)</f>
        <v>0</v>
      </c>
      <c r="I86" s="49">
        <f>SUM('POSEBNI DIO 24-52'!M268,)</f>
        <v>0</v>
      </c>
      <c r="J86" s="49">
        <f>SUM('POSEBNI DIO 24-52'!N268,)</f>
        <v>75000</v>
      </c>
      <c r="K86" s="49">
        <f>SUM('POSEBNI DIO 24-52'!O268,)</f>
        <v>1225200</v>
      </c>
      <c r="L86" s="49">
        <f>SUM('POSEBNI DIO 24-52'!P268,)</f>
        <v>1156200</v>
      </c>
    </row>
    <row r="87" spans="1:12" ht="41.25" customHeight="1">
      <c r="A87" s="68" t="s">
        <v>248</v>
      </c>
      <c r="B87" s="71" t="s">
        <v>322</v>
      </c>
      <c r="C87" s="49">
        <f>SUM('POSEBNI DIO 24-52'!G296,)</f>
        <v>1470000</v>
      </c>
      <c r="D87" s="49">
        <f>SUM('POSEBNI DIO 24-52'!H296,)</f>
        <v>100000</v>
      </c>
      <c r="E87" s="49">
        <f>SUM('POSEBNI DIO 24-52'!I296,)</f>
        <v>0</v>
      </c>
      <c r="F87" s="49">
        <f>SUM('POSEBNI DIO 24-52'!J296,)</f>
        <v>1570000</v>
      </c>
      <c r="G87" s="49">
        <f>SUM('POSEBNI DIO 24-52'!K296,)</f>
        <v>2277046.6</v>
      </c>
      <c r="H87" s="49">
        <f>SUM('POSEBNI DIO 24-52'!L296,)</f>
        <v>0</v>
      </c>
      <c r="I87" s="49">
        <f>SUM('POSEBNI DIO 24-52'!M296,)</f>
        <v>100000</v>
      </c>
      <c r="J87" s="49">
        <f>SUM('POSEBNI DIO 24-52'!N296,)</f>
        <v>2177046.6</v>
      </c>
      <c r="K87" s="49">
        <f>SUM('POSEBNI DIO 24-52'!O296,)</f>
        <v>3747046.6</v>
      </c>
      <c r="L87" s="49">
        <f>SUM('POSEBNI DIO 24-52'!P296,)</f>
        <v>3747046.6</v>
      </c>
    </row>
    <row r="88" spans="1:12" ht="26.25" customHeight="1">
      <c r="A88" s="68" t="s">
        <v>249</v>
      </c>
      <c r="B88" s="71" t="s">
        <v>278</v>
      </c>
      <c r="C88" s="49">
        <f>SUM('POSEBNI DIO 24-52'!G323,)</f>
        <v>169500</v>
      </c>
      <c r="D88" s="49">
        <f>SUM('POSEBNI DIO 24-52'!H323,)</f>
        <v>30000</v>
      </c>
      <c r="E88" s="49">
        <f>SUM('POSEBNI DIO 24-52'!I323,)</f>
        <v>0</v>
      </c>
      <c r="F88" s="49">
        <f>SUM('POSEBNI DIO 24-52'!J323,)</f>
        <v>199500</v>
      </c>
      <c r="G88" s="49">
        <f>SUM('POSEBNI DIO 24-52'!K323,)</f>
        <v>252000</v>
      </c>
      <c r="H88" s="49">
        <f>SUM('POSEBNI DIO 24-52'!L323,)</f>
        <v>0</v>
      </c>
      <c r="I88" s="49">
        <f>SUM('POSEBNI DIO 24-52'!M323,)</f>
        <v>0</v>
      </c>
      <c r="J88" s="49">
        <f>SUM('POSEBNI DIO 24-52'!N323,)</f>
        <v>252000</v>
      </c>
      <c r="K88" s="49">
        <f>SUM('POSEBNI DIO 24-52'!O323,)</f>
        <v>421500</v>
      </c>
      <c r="L88" s="49">
        <f>SUM('POSEBNI DIO 24-52'!P323,)</f>
        <v>451500</v>
      </c>
    </row>
    <row r="89" spans="1:12" ht="28.5" customHeight="1">
      <c r="A89" s="68" t="s">
        <v>840</v>
      </c>
      <c r="B89" s="71" t="s">
        <v>841</v>
      </c>
      <c r="C89" s="49">
        <f>SUM('POSEBNI DIO 24-52'!G353,)</f>
        <v>699500</v>
      </c>
      <c r="D89" s="49">
        <f>SUM('POSEBNI DIO 24-52'!H353,)</f>
        <v>0</v>
      </c>
      <c r="E89" s="49">
        <f>SUM('POSEBNI DIO 24-52'!I353,)</f>
        <v>0</v>
      </c>
      <c r="F89" s="49">
        <f>SUM('POSEBNI DIO 24-52'!J353,)</f>
        <v>699500</v>
      </c>
      <c r="G89" s="49">
        <f>SUM('POSEBNI DIO 24-52'!K353,)</f>
        <v>83064</v>
      </c>
      <c r="H89" s="49">
        <f>SUM('POSEBNI DIO 24-52'!L353,)</f>
        <v>0</v>
      </c>
      <c r="I89" s="49">
        <f>SUM('POSEBNI DIO 24-52'!M353,)</f>
        <v>0</v>
      </c>
      <c r="J89" s="49">
        <f>SUM('POSEBNI DIO 24-52'!N353,)</f>
        <v>83064</v>
      </c>
      <c r="K89" s="49">
        <f>SUM('POSEBNI DIO 24-52'!O353,)</f>
        <v>782564</v>
      </c>
      <c r="L89" s="49">
        <f>SUM('POSEBNI DIO 24-52'!P353,)</f>
        <v>782564</v>
      </c>
    </row>
    <row r="90" spans="1:12" ht="40.5" customHeight="1">
      <c r="A90" s="68" t="s">
        <v>598</v>
      </c>
      <c r="B90" s="1105" t="s">
        <v>1118</v>
      </c>
      <c r="C90" s="49">
        <f>SUM('POSEBNI DIO 24-52'!G374)</f>
        <v>1221181.43</v>
      </c>
      <c r="D90" s="49">
        <f>SUM('POSEBNI DIO 24-52'!H374)</f>
        <v>60000</v>
      </c>
      <c r="E90" s="49">
        <f>SUM('POSEBNI DIO 24-52'!I374)</f>
        <v>207300</v>
      </c>
      <c r="F90" s="49">
        <f>SUM('POSEBNI DIO 24-52'!J374)</f>
        <v>1073881.43</v>
      </c>
      <c r="G90" s="49">
        <f>SUM('POSEBNI DIO 24-52'!K374)</f>
        <v>71463.17</v>
      </c>
      <c r="H90" s="49">
        <f>SUM('POSEBNI DIO 24-52'!L374)</f>
        <v>0</v>
      </c>
      <c r="I90" s="49">
        <f>SUM('POSEBNI DIO 24-52'!M374)</f>
        <v>0</v>
      </c>
      <c r="J90" s="49">
        <f>SUM('POSEBNI DIO 24-52'!N374)</f>
        <v>71463.17</v>
      </c>
      <c r="K90" s="49">
        <f>SUM('POSEBNI DIO 24-52'!O374)</f>
        <v>1292644.6</v>
      </c>
      <c r="L90" s="49">
        <f>SUM('POSEBNI DIO 24-52'!P374)</f>
        <v>1145344.6</v>
      </c>
    </row>
    <row r="91" spans="1:12" ht="40.5" customHeight="1">
      <c r="A91" s="826" t="s">
        <v>1436</v>
      </c>
      <c r="B91" s="1475" t="s">
        <v>1426</v>
      </c>
      <c r="C91" s="49">
        <f>SUM('POSEBNI DIO 24-52'!G381)</f>
        <v>0</v>
      </c>
      <c r="D91" s="49">
        <f>SUM('POSEBNI DIO 24-52'!H381)</f>
        <v>600000</v>
      </c>
      <c r="E91" s="49">
        <f>SUM('POSEBNI DIO 24-52'!I381)</f>
        <v>0</v>
      </c>
      <c r="F91" s="49">
        <f>SUM('POSEBNI DIO 24-52'!J381)</f>
        <v>600000</v>
      </c>
      <c r="G91" s="49">
        <f>SUM('POSEBNI DIO 24-52'!K381)</f>
        <v>0</v>
      </c>
      <c r="H91" s="49">
        <f>SUM('POSEBNI DIO 24-52'!L381)</f>
        <v>0</v>
      </c>
      <c r="I91" s="49">
        <f>SUM('POSEBNI DIO 24-52'!M381)</f>
        <v>0</v>
      </c>
      <c r="J91" s="49">
        <f>SUM('POSEBNI DIO 24-52'!N381)</f>
        <v>0</v>
      </c>
      <c r="K91" s="49">
        <f>SUM('POSEBNI DIO 24-52'!O381)</f>
        <v>0</v>
      </c>
      <c r="L91" s="49">
        <f>SUM('POSEBNI DIO 24-52'!P381)</f>
        <v>600000</v>
      </c>
    </row>
    <row r="92" spans="1:12" ht="42" customHeight="1">
      <c r="A92" s="67" t="s">
        <v>144</v>
      </c>
      <c r="B92" s="64" t="s">
        <v>145</v>
      </c>
      <c r="C92" s="47">
        <f aca="true" t="shared" si="27" ref="C92:L92">SUM(C93:C97,)</f>
        <v>36073235.72</v>
      </c>
      <c r="D92" s="47">
        <f t="shared" si="27"/>
        <v>4000000</v>
      </c>
      <c r="E92" s="47">
        <f t="shared" si="27"/>
        <v>5205552.1</v>
      </c>
      <c r="F92" s="47">
        <f t="shared" si="27"/>
        <v>34867683.620000005</v>
      </c>
      <c r="G92" s="47">
        <f t="shared" si="27"/>
        <v>4157621.66</v>
      </c>
      <c r="H92" s="47">
        <f t="shared" si="27"/>
        <v>11059.2</v>
      </c>
      <c r="I92" s="47">
        <f t="shared" si="27"/>
        <v>1000000</v>
      </c>
      <c r="J92" s="47">
        <f t="shared" si="27"/>
        <v>3168680.86</v>
      </c>
      <c r="K92" s="47">
        <f t="shared" si="27"/>
        <v>40230857.38</v>
      </c>
      <c r="L92" s="47">
        <f t="shared" si="27"/>
        <v>38036364.480000004</v>
      </c>
    </row>
    <row r="93" spans="1:12" ht="29.25" customHeight="1">
      <c r="A93" s="68" t="s">
        <v>140</v>
      </c>
      <c r="B93" s="58" t="s">
        <v>262</v>
      </c>
      <c r="C93" s="49">
        <f>SUM('POSEBNI DIO 24-52'!G399,)</f>
        <v>657946</v>
      </c>
      <c r="D93" s="49">
        <f>SUM('POSEBNI DIO 24-52'!H399,)</f>
        <v>0</v>
      </c>
      <c r="E93" s="49">
        <f>SUM('POSEBNI DIO 24-52'!I399,)</f>
        <v>11000</v>
      </c>
      <c r="F93" s="49">
        <f>SUM('POSEBNI DIO 24-52'!J399,)</f>
        <v>646946</v>
      </c>
      <c r="G93" s="49">
        <f>SUM('POSEBNI DIO 24-52'!K399,)</f>
        <v>0</v>
      </c>
      <c r="H93" s="49">
        <f>SUM('POSEBNI DIO 24-52'!L399,)</f>
        <v>0</v>
      </c>
      <c r="I93" s="49">
        <f>SUM('POSEBNI DIO 24-52'!M399,)</f>
        <v>0</v>
      </c>
      <c r="J93" s="49">
        <f>SUM('POSEBNI DIO 24-52'!N399,)</f>
        <v>0</v>
      </c>
      <c r="K93" s="49">
        <f>SUM('POSEBNI DIO 24-52'!O399,)</f>
        <v>657946</v>
      </c>
      <c r="L93" s="49">
        <f>SUM('POSEBNI DIO 24-52'!P399,)</f>
        <v>646946</v>
      </c>
    </row>
    <row r="94" spans="1:12" ht="25.5" customHeight="1">
      <c r="A94" s="68" t="s">
        <v>141</v>
      </c>
      <c r="B94" s="48" t="s">
        <v>263</v>
      </c>
      <c r="C94" s="49">
        <f>SUM('POSEBNI DIO 24-52'!G439,)</f>
        <v>9080667.36</v>
      </c>
      <c r="D94" s="49">
        <f>SUM('POSEBNI DIO 24-52'!H439,)</f>
        <v>0</v>
      </c>
      <c r="E94" s="49">
        <f>SUM('POSEBNI DIO 24-52'!I439,)</f>
        <v>3300000</v>
      </c>
      <c r="F94" s="49">
        <f>SUM('POSEBNI DIO 24-52'!J439,)</f>
        <v>5780667.36</v>
      </c>
      <c r="G94" s="49">
        <f>SUM('POSEBNI DIO 24-52'!K439,)</f>
        <v>0</v>
      </c>
      <c r="H94" s="49">
        <f>SUM('POSEBNI DIO 24-52'!L439,)</f>
        <v>0</v>
      </c>
      <c r="I94" s="49">
        <f>SUM('POSEBNI DIO 24-52'!M439,)</f>
        <v>0</v>
      </c>
      <c r="J94" s="49">
        <f>SUM('POSEBNI DIO 24-52'!N439,)</f>
        <v>0</v>
      </c>
      <c r="K94" s="49">
        <f>SUM('POSEBNI DIO 24-52'!O439,)</f>
        <v>9080667.36</v>
      </c>
      <c r="L94" s="49">
        <f>SUM('POSEBNI DIO 24-52'!P439,)</f>
        <v>5780667.36</v>
      </c>
    </row>
    <row r="95" spans="1:12" ht="23.25" customHeight="1">
      <c r="A95" s="68" t="s">
        <v>143</v>
      </c>
      <c r="B95" s="854" t="s">
        <v>1119</v>
      </c>
      <c r="C95" s="49">
        <f>SUM('POSEBNI DIO 24-52'!G487,)</f>
        <v>17204494.180000003</v>
      </c>
      <c r="D95" s="49">
        <f>SUM('POSEBNI DIO 24-52'!H487,)</f>
        <v>800000</v>
      </c>
      <c r="E95" s="49">
        <f>SUM('POSEBNI DIO 24-52'!I487,)</f>
        <v>0</v>
      </c>
      <c r="F95" s="49">
        <f>SUM('POSEBNI DIO 24-52'!J487,)</f>
        <v>18004494.180000003</v>
      </c>
      <c r="G95" s="49">
        <f>SUM('POSEBNI DIO 24-52'!K487,)</f>
        <v>4146065.66</v>
      </c>
      <c r="H95" s="49">
        <f>SUM('POSEBNI DIO 24-52'!L487,)</f>
        <v>11059.2</v>
      </c>
      <c r="I95" s="49">
        <f>SUM('POSEBNI DIO 24-52'!M487,)</f>
        <v>1000000</v>
      </c>
      <c r="J95" s="49">
        <f>SUM('POSEBNI DIO 24-52'!N487,)</f>
        <v>3157124.86</v>
      </c>
      <c r="K95" s="49">
        <f>SUM('POSEBNI DIO 24-52'!O487,)</f>
        <v>21350559.840000004</v>
      </c>
      <c r="L95" s="49">
        <f>SUM('POSEBNI DIO 24-52'!P487,)</f>
        <v>21161619.040000003</v>
      </c>
    </row>
    <row r="96" spans="1:12" ht="24.75" customHeight="1">
      <c r="A96" s="68" t="s">
        <v>142</v>
      </c>
      <c r="B96" s="48" t="s">
        <v>264</v>
      </c>
      <c r="C96" s="49">
        <f>SUM('POSEBNI DIO 24-52'!G511,)</f>
        <v>1408500</v>
      </c>
      <c r="D96" s="49">
        <f>SUM('POSEBNI DIO 24-52'!H511,)</f>
        <v>0</v>
      </c>
      <c r="E96" s="49">
        <f>SUM('POSEBNI DIO 24-52'!I511,)</f>
        <v>5000</v>
      </c>
      <c r="F96" s="49">
        <f>SUM('POSEBNI DIO 24-52'!J511,)</f>
        <v>1403500</v>
      </c>
      <c r="G96" s="49">
        <f>SUM('POSEBNI DIO 24-52'!K511,)</f>
        <v>11556</v>
      </c>
      <c r="H96" s="49">
        <f>SUM('POSEBNI DIO 24-52'!L511,)</f>
        <v>0</v>
      </c>
      <c r="I96" s="49">
        <f>SUM('POSEBNI DIO 24-52'!M511,)</f>
        <v>0</v>
      </c>
      <c r="J96" s="49">
        <f>SUM('POSEBNI DIO 24-52'!N511,)</f>
        <v>11556</v>
      </c>
      <c r="K96" s="49">
        <f>SUM('POSEBNI DIO 24-52'!O511,)</f>
        <v>1420056</v>
      </c>
      <c r="L96" s="49">
        <f>SUM('POSEBNI DIO 24-52'!P511,)</f>
        <v>1415056</v>
      </c>
    </row>
    <row r="97" spans="1:12" ht="41.25" customHeight="1">
      <c r="A97" s="68" t="s">
        <v>597</v>
      </c>
      <c r="B97" s="1105" t="s">
        <v>1118</v>
      </c>
      <c r="C97" s="49">
        <f>SUM('POSEBNI DIO 24-52'!G543)</f>
        <v>7721628.18</v>
      </c>
      <c r="D97" s="49">
        <f>SUM('POSEBNI DIO 24-52'!H543)</f>
        <v>3200000</v>
      </c>
      <c r="E97" s="49">
        <f>SUM('POSEBNI DIO 24-52'!I543)</f>
        <v>1889552.1</v>
      </c>
      <c r="F97" s="49">
        <f>SUM('POSEBNI DIO 24-52'!J543)</f>
        <v>9032076.08</v>
      </c>
      <c r="G97" s="49">
        <f>SUM('POSEBNI DIO 24-52'!K543)</f>
        <v>0</v>
      </c>
      <c r="H97" s="49">
        <f>SUM('POSEBNI DIO 24-52'!L543)</f>
        <v>0</v>
      </c>
      <c r="I97" s="49">
        <f>SUM('POSEBNI DIO 24-52'!M543)</f>
        <v>0</v>
      </c>
      <c r="J97" s="49">
        <f>SUM('POSEBNI DIO 24-52'!N543)</f>
        <v>0</v>
      </c>
      <c r="K97" s="49">
        <f>SUM('POSEBNI DIO 24-52'!O543)</f>
        <v>7721628.18</v>
      </c>
      <c r="L97" s="49">
        <f>SUM('POSEBNI DIO 24-52'!P543)</f>
        <v>9032076.08</v>
      </c>
    </row>
    <row r="98" spans="1:12" ht="30.75" customHeight="1">
      <c r="A98" s="67" t="s">
        <v>148</v>
      </c>
      <c r="B98" s="64" t="s">
        <v>149</v>
      </c>
      <c r="C98" s="47">
        <f aca="true" t="shared" si="28" ref="C98:L98">SUM(C99:C100,)</f>
        <v>886211</v>
      </c>
      <c r="D98" s="47">
        <f t="shared" si="28"/>
        <v>0</v>
      </c>
      <c r="E98" s="47">
        <f t="shared" si="28"/>
        <v>1000</v>
      </c>
      <c r="F98" s="47">
        <f t="shared" si="28"/>
        <v>885211</v>
      </c>
      <c r="G98" s="47">
        <f t="shared" si="28"/>
        <v>75000</v>
      </c>
      <c r="H98" s="47">
        <f t="shared" si="28"/>
        <v>0</v>
      </c>
      <c r="I98" s="47">
        <f t="shared" si="28"/>
        <v>0</v>
      </c>
      <c r="J98" s="47">
        <f t="shared" si="28"/>
        <v>75000</v>
      </c>
      <c r="K98" s="47">
        <f t="shared" si="28"/>
        <v>961211</v>
      </c>
      <c r="L98" s="47">
        <f t="shared" si="28"/>
        <v>960211</v>
      </c>
    </row>
    <row r="99" spans="1:12" ht="29.25" customHeight="1">
      <c r="A99" s="68" t="s">
        <v>146</v>
      </c>
      <c r="B99" s="58" t="s">
        <v>265</v>
      </c>
      <c r="C99" s="49">
        <f>SUM('POSEBNI DIO 24-52'!G564,)</f>
        <v>766211</v>
      </c>
      <c r="D99" s="49">
        <f>SUM('POSEBNI DIO 24-52'!H564,)</f>
        <v>0</v>
      </c>
      <c r="E99" s="49">
        <f>SUM('POSEBNI DIO 24-52'!I564,)</f>
        <v>1000</v>
      </c>
      <c r="F99" s="49">
        <f>SUM('POSEBNI DIO 24-52'!J564,)</f>
        <v>765211</v>
      </c>
      <c r="G99" s="49">
        <f>SUM('POSEBNI DIO 24-52'!K564,)</f>
        <v>75000</v>
      </c>
      <c r="H99" s="49">
        <f>SUM('POSEBNI DIO 24-52'!L564,)</f>
        <v>0</v>
      </c>
      <c r="I99" s="49">
        <f>SUM('POSEBNI DIO 24-52'!M564,)</f>
        <v>0</v>
      </c>
      <c r="J99" s="49">
        <f>SUM('POSEBNI DIO 24-52'!N564,)</f>
        <v>75000</v>
      </c>
      <c r="K99" s="49">
        <f>SUM('POSEBNI DIO 24-52'!O564,)</f>
        <v>841211</v>
      </c>
      <c r="L99" s="49">
        <f>SUM('POSEBNI DIO 24-52'!P564,)</f>
        <v>840211</v>
      </c>
    </row>
    <row r="100" spans="1:12" ht="28.5" customHeight="1" thickBot="1">
      <c r="A100" s="72" t="s">
        <v>8</v>
      </c>
      <c r="B100" s="1035" t="s">
        <v>1120</v>
      </c>
      <c r="C100" s="54">
        <f>SUM('POSEBNI DIO 24-52'!G577,)</f>
        <v>120000</v>
      </c>
      <c r="D100" s="54">
        <f>SUM('POSEBNI DIO 24-52'!H577,)</f>
        <v>0</v>
      </c>
      <c r="E100" s="54">
        <f>SUM('POSEBNI DIO 24-52'!I577,)</f>
        <v>0</v>
      </c>
      <c r="F100" s="54">
        <f>SUM('POSEBNI DIO 24-52'!J577,)</f>
        <v>120000</v>
      </c>
      <c r="G100" s="54">
        <f>SUM('POSEBNI DIO 24-52'!K577,)</f>
        <v>0</v>
      </c>
      <c r="H100" s="54">
        <f>SUM('POSEBNI DIO 24-52'!L577,)</f>
        <v>0</v>
      </c>
      <c r="I100" s="54">
        <f>SUM('POSEBNI DIO 24-52'!M577,)</f>
        <v>0</v>
      </c>
      <c r="J100" s="54">
        <f>SUM('POSEBNI DIO 24-52'!N577,)</f>
        <v>0</v>
      </c>
      <c r="K100" s="54">
        <f>SUM('POSEBNI DIO 24-52'!O577,)</f>
        <v>120000</v>
      </c>
      <c r="L100" s="54">
        <f>SUM('POSEBNI DIO 24-52'!P577,)</f>
        <v>120000</v>
      </c>
    </row>
    <row r="101" spans="3:12" ht="13.5" thickBot="1">
      <c r="C101" s="55"/>
      <c r="D101" s="55"/>
      <c r="E101" s="55"/>
      <c r="F101" s="55"/>
      <c r="G101" s="55"/>
      <c r="H101" s="55"/>
      <c r="I101" s="55"/>
      <c r="J101" s="55"/>
      <c r="K101" s="55"/>
      <c r="L101" s="1005"/>
    </row>
    <row r="102" spans="1:12" ht="222" customHeight="1">
      <c r="A102" s="40" t="s">
        <v>187</v>
      </c>
      <c r="B102" s="41" t="s">
        <v>701</v>
      </c>
      <c r="C102" s="9" t="s">
        <v>1132</v>
      </c>
      <c r="D102" s="9" t="s">
        <v>1356</v>
      </c>
      <c r="E102" s="9" t="s">
        <v>1357</v>
      </c>
      <c r="F102" s="9" t="s">
        <v>1358</v>
      </c>
      <c r="G102" s="9" t="s">
        <v>1186</v>
      </c>
      <c r="H102" s="9" t="s">
        <v>1359</v>
      </c>
      <c r="I102" s="9" t="s">
        <v>1360</v>
      </c>
      <c r="J102" s="9" t="s">
        <v>1361</v>
      </c>
      <c r="K102" s="9" t="s">
        <v>1133</v>
      </c>
      <c r="L102" s="9" t="s">
        <v>1355</v>
      </c>
    </row>
    <row r="103" spans="1:12" ht="18">
      <c r="A103" s="42">
        <v>0</v>
      </c>
      <c r="B103" s="66">
        <v>1</v>
      </c>
      <c r="C103" s="44">
        <v>2</v>
      </c>
      <c r="D103" s="44">
        <v>3</v>
      </c>
      <c r="E103" s="44">
        <v>4</v>
      </c>
      <c r="F103" s="44">
        <v>5</v>
      </c>
      <c r="G103" s="44">
        <v>6</v>
      </c>
      <c r="H103" s="44">
        <v>7</v>
      </c>
      <c r="I103" s="44">
        <v>8</v>
      </c>
      <c r="J103" s="44">
        <v>9</v>
      </c>
      <c r="K103" s="44">
        <v>10</v>
      </c>
      <c r="L103" s="1004">
        <v>11</v>
      </c>
    </row>
    <row r="104" spans="1:12" ht="41.25" customHeight="1">
      <c r="A104" s="67" t="s">
        <v>151</v>
      </c>
      <c r="B104" s="64" t="s">
        <v>267</v>
      </c>
      <c r="C104" s="47">
        <f aca="true" t="shared" si="29" ref="C104:L104">SUM(C105:C107,)</f>
        <v>1183500</v>
      </c>
      <c r="D104" s="47">
        <f t="shared" si="29"/>
        <v>0</v>
      </c>
      <c r="E104" s="47">
        <f t="shared" si="29"/>
        <v>15000</v>
      </c>
      <c r="F104" s="47">
        <f t="shared" si="29"/>
        <v>1168500</v>
      </c>
      <c r="G104" s="47">
        <f t="shared" si="29"/>
        <v>0</v>
      </c>
      <c r="H104" s="47">
        <f t="shared" si="29"/>
        <v>0</v>
      </c>
      <c r="I104" s="47">
        <f t="shared" si="29"/>
        <v>0</v>
      </c>
      <c r="J104" s="47">
        <f t="shared" si="29"/>
        <v>0</v>
      </c>
      <c r="K104" s="47">
        <f t="shared" si="29"/>
        <v>1183500</v>
      </c>
      <c r="L104" s="47">
        <f t="shared" si="29"/>
        <v>1168500</v>
      </c>
    </row>
    <row r="105" spans="1:12" ht="24.75" customHeight="1">
      <c r="A105" s="68" t="s">
        <v>150</v>
      </c>
      <c r="B105" s="48" t="s">
        <v>267</v>
      </c>
      <c r="C105" s="49">
        <f>SUM('POSEBNI DIO 24-52'!G598,)</f>
        <v>893000</v>
      </c>
      <c r="D105" s="49">
        <f>SUM('POSEBNI DIO 24-52'!H598,)</f>
        <v>0</v>
      </c>
      <c r="E105" s="49">
        <f>SUM('POSEBNI DIO 24-52'!I598,)</f>
        <v>15000</v>
      </c>
      <c r="F105" s="49">
        <f>SUM('POSEBNI DIO 24-52'!J598,)</f>
        <v>878000</v>
      </c>
      <c r="G105" s="49">
        <f>SUM('POSEBNI DIO 24-52'!K598,)</f>
        <v>0</v>
      </c>
      <c r="H105" s="49">
        <f>SUM('POSEBNI DIO 24-52'!L598,)</f>
        <v>0</v>
      </c>
      <c r="I105" s="49">
        <f>SUM('POSEBNI DIO 24-52'!M598,)</f>
        <v>0</v>
      </c>
      <c r="J105" s="49">
        <f>SUM('POSEBNI DIO 24-52'!N598,)</f>
        <v>0</v>
      </c>
      <c r="K105" s="49">
        <f>SUM('POSEBNI DIO 24-52'!O598,)</f>
        <v>893000</v>
      </c>
      <c r="L105" s="49">
        <f>SUM('POSEBNI DIO 24-52'!P598,)</f>
        <v>878000</v>
      </c>
    </row>
    <row r="106" spans="1:12" ht="40.5" customHeight="1">
      <c r="A106" s="826" t="s">
        <v>150</v>
      </c>
      <c r="B106" s="827" t="s">
        <v>896</v>
      </c>
      <c r="C106" s="49">
        <f>SUM('POSEBNI DIO 24-52'!G611)</f>
        <v>0</v>
      </c>
      <c r="D106" s="49">
        <f>SUM('POSEBNI DIO 24-52'!H611)</f>
        <v>0</v>
      </c>
      <c r="E106" s="49">
        <f>SUM('POSEBNI DIO 24-52'!I611)</f>
        <v>0</v>
      </c>
      <c r="F106" s="49">
        <f>SUM('POSEBNI DIO 24-52'!J611)</f>
        <v>0</v>
      </c>
      <c r="G106" s="49">
        <f>SUM('POSEBNI DIO 24-52'!K611)</f>
        <v>0</v>
      </c>
      <c r="H106" s="49">
        <f>SUM('POSEBNI DIO 24-52'!L611)</f>
        <v>0</v>
      </c>
      <c r="I106" s="49">
        <f>SUM('POSEBNI DIO 24-52'!M611)</f>
        <v>0</v>
      </c>
      <c r="J106" s="49">
        <f>SUM('POSEBNI DIO 24-52'!N611)</f>
        <v>0</v>
      </c>
      <c r="K106" s="49">
        <f>SUM('POSEBNI DIO 24-52'!O611)</f>
        <v>0</v>
      </c>
      <c r="L106" s="49">
        <f>SUM('POSEBNI DIO 24-52'!P611)</f>
        <v>0</v>
      </c>
    </row>
    <row r="107" spans="1:12" ht="40.5" customHeight="1" thickBot="1">
      <c r="A107" s="826" t="s">
        <v>1178</v>
      </c>
      <c r="B107" s="1035" t="s">
        <v>1120</v>
      </c>
      <c r="C107" s="49">
        <f>SUM('POSEBNI DIO 24-52'!G619)</f>
        <v>290500</v>
      </c>
      <c r="D107" s="49">
        <f>SUM('POSEBNI DIO 24-52'!H619)</f>
        <v>0</v>
      </c>
      <c r="E107" s="49">
        <f>SUM('POSEBNI DIO 24-52'!I619)</f>
        <v>0</v>
      </c>
      <c r="F107" s="49">
        <f>SUM('POSEBNI DIO 24-52'!J619)</f>
        <v>290500</v>
      </c>
      <c r="G107" s="49">
        <f>SUM('POSEBNI DIO 24-52'!K619)</f>
        <v>0</v>
      </c>
      <c r="H107" s="49">
        <f>SUM('POSEBNI DIO 24-52'!L619)</f>
        <v>0</v>
      </c>
      <c r="I107" s="49">
        <f>SUM('POSEBNI DIO 24-52'!M619)</f>
        <v>0</v>
      </c>
      <c r="J107" s="49">
        <f>SUM('POSEBNI DIO 24-52'!N619)</f>
        <v>0</v>
      </c>
      <c r="K107" s="49">
        <f>SUM('POSEBNI DIO 24-52'!O619)</f>
        <v>290500</v>
      </c>
      <c r="L107" s="49">
        <f>SUM('POSEBNI DIO 24-52'!P619)</f>
        <v>290500</v>
      </c>
    </row>
    <row r="108" spans="1:12" ht="24.75" customHeight="1">
      <c r="A108" s="67" t="s">
        <v>133</v>
      </c>
      <c r="B108" s="73" t="s">
        <v>259</v>
      </c>
      <c r="C108" s="47">
        <f aca="true" t="shared" si="30" ref="C108:L108">SUM(C109,)</f>
        <v>1264000</v>
      </c>
      <c r="D108" s="47">
        <f t="shared" si="30"/>
        <v>0</v>
      </c>
      <c r="E108" s="47">
        <f t="shared" si="30"/>
        <v>7000</v>
      </c>
      <c r="F108" s="47">
        <f t="shared" si="30"/>
        <v>1257000</v>
      </c>
      <c r="G108" s="47">
        <f t="shared" si="30"/>
        <v>0</v>
      </c>
      <c r="H108" s="47">
        <f t="shared" si="30"/>
        <v>0</v>
      </c>
      <c r="I108" s="47">
        <f t="shared" si="30"/>
        <v>0</v>
      </c>
      <c r="J108" s="47">
        <f t="shared" si="30"/>
        <v>0</v>
      </c>
      <c r="K108" s="47">
        <f t="shared" si="30"/>
        <v>1264000</v>
      </c>
      <c r="L108" s="47">
        <f t="shared" si="30"/>
        <v>1257000</v>
      </c>
    </row>
    <row r="109" spans="1:12" ht="24.75" customHeight="1">
      <c r="A109" s="68" t="s">
        <v>132</v>
      </c>
      <c r="B109" s="48" t="s">
        <v>259</v>
      </c>
      <c r="C109" s="49">
        <f>SUM('POSEBNI DIO 24-52'!G638,)</f>
        <v>1264000</v>
      </c>
      <c r="D109" s="49">
        <f>SUM('POSEBNI DIO 24-52'!H638,)</f>
        <v>0</v>
      </c>
      <c r="E109" s="49">
        <f>SUM('POSEBNI DIO 24-52'!I638,)</f>
        <v>7000</v>
      </c>
      <c r="F109" s="49">
        <f>SUM('POSEBNI DIO 24-52'!J638,)</f>
        <v>1257000</v>
      </c>
      <c r="G109" s="49">
        <f>SUM('POSEBNI DIO 24-52'!K638,)</f>
        <v>0</v>
      </c>
      <c r="H109" s="49">
        <f>SUM('POSEBNI DIO 24-52'!L638,)</f>
        <v>0</v>
      </c>
      <c r="I109" s="49">
        <f>SUM('POSEBNI DIO 24-52'!M638,)</f>
        <v>0</v>
      </c>
      <c r="J109" s="49">
        <f>SUM('POSEBNI DIO 24-52'!N638,)</f>
        <v>0</v>
      </c>
      <c r="K109" s="49">
        <f>SUM('POSEBNI DIO 24-52'!O638,)</f>
        <v>1264000</v>
      </c>
      <c r="L109" s="49">
        <f>SUM('POSEBNI DIO 24-52'!P638,)</f>
        <v>1257000</v>
      </c>
    </row>
    <row r="110" spans="1:12" ht="27" customHeight="1">
      <c r="A110" s="74" t="s">
        <v>128</v>
      </c>
      <c r="B110" s="64" t="s">
        <v>268</v>
      </c>
      <c r="C110" s="47">
        <f aca="true" t="shared" si="31" ref="C110:L110">SUM(C111,)</f>
        <v>2901518.4099999997</v>
      </c>
      <c r="D110" s="47">
        <f t="shared" si="31"/>
        <v>0</v>
      </c>
      <c r="E110" s="47">
        <f t="shared" si="31"/>
        <v>105000</v>
      </c>
      <c r="F110" s="47">
        <f t="shared" si="31"/>
        <v>2796518.4099999997</v>
      </c>
      <c r="G110" s="47">
        <f t="shared" si="31"/>
        <v>0</v>
      </c>
      <c r="H110" s="47">
        <f t="shared" si="31"/>
        <v>0</v>
      </c>
      <c r="I110" s="47">
        <f t="shared" si="31"/>
        <v>0</v>
      </c>
      <c r="J110" s="47">
        <f t="shared" si="31"/>
        <v>0</v>
      </c>
      <c r="K110" s="47">
        <f t="shared" si="31"/>
        <v>2901518.4099999997</v>
      </c>
      <c r="L110" s="47">
        <f t="shared" si="31"/>
        <v>2796518.4099999997</v>
      </c>
    </row>
    <row r="111" spans="1:12" ht="25.5" customHeight="1">
      <c r="A111" s="68" t="s">
        <v>127</v>
      </c>
      <c r="B111" s="58" t="s">
        <v>257</v>
      </c>
      <c r="C111" s="49">
        <f>SUM('POSEBNI DIO 24-52'!G664,)</f>
        <v>2901518.4099999997</v>
      </c>
      <c r="D111" s="49">
        <f>SUM('POSEBNI DIO 24-52'!H664,)</f>
        <v>0</v>
      </c>
      <c r="E111" s="49">
        <f>SUM('POSEBNI DIO 24-52'!I664,)</f>
        <v>105000</v>
      </c>
      <c r="F111" s="49">
        <f>SUM('POSEBNI DIO 24-52'!J664,)</f>
        <v>2796518.4099999997</v>
      </c>
      <c r="G111" s="49">
        <f>SUM('POSEBNI DIO 24-52'!K664,)</f>
        <v>0</v>
      </c>
      <c r="H111" s="49">
        <f>SUM('POSEBNI DIO 24-52'!L664,)</f>
        <v>0</v>
      </c>
      <c r="I111" s="49">
        <f>SUM('POSEBNI DIO 24-52'!M664,)</f>
        <v>0</v>
      </c>
      <c r="J111" s="49">
        <f>SUM('POSEBNI DIO 24-52'!N664,)</f>
        <v>0</v>
      </c>
      <c r="K111" s="49">
        <f>SUM('POSEBNI DIO 24-52'!O664,)</f>
        <v>2901518.4099999997</v>
      </c>
      <c r="L111" s="49">
        <f>SUM('POSEBNI DIO 24-52'!P664,)</f>
        <v>2796518.4099999997</v>
      </c>
    </row>
    <row r="112" spans="1:12" ht="42.75" customHeight="1">
      <c r="A112" s="67" t="s">
        <v>153</v>
      </c>
      <c r="B112" s="64" t="s">
        <v>738</v>
      </c>
      <c r="C112" s="47">
        <f aca="true" t="shared" si="32" ref="C112:L112">SUM(C113:C116)</f>
        <v>1639400</v>
      </c>
      <c r="D112" s="47">
        <f t="shared" si="32"/>
        <v>34043.37</v>
      </c>
      <c r="E112" s="47">
        <f t="shared" si="32"/>
        <v>5200</v>
      </c>
      <c r="F112" s="47">
        <f t="shared" si="32"/>
        <v>1668243.37</v>
      </c>
      <c r="G112" s="47">
        <f t="shared" si="32"/>
        <v>899000</v>
      </c>
      <c r="H112" s="47">
        <f t="shared" si="32"/>
        <v>0</v>
      </c>
      <c r="I112" s="47">
        <f t="shared" si="32"/>
        <v>0</v>
      </c>
      <c r="J112" s="47">
        <f t="shared" si="32"/>
        <v>899000</v>
      </c>
      <c r="K112" s="47">
        <f t="shared" si="32"/>
        <v>2538400</v>
      </c>
      <c r="L112" s="47">
        <f t="shared" si="32"/>
        <v>2567243.37</v>
      </c>
    </row>
    <row r="113" spans="1:12" ht="39.75" customHeight="1">
      <c r="A113" s="70" t="s">
        <v>152</v>
      </c>
      <c r="B113" s="51" t="s">
        <v>738</v>
      </c>
      <c r="C113" s="49">
        <f>SUM('POSEBNI DIO 24-52'!G695,)</f>
        <v>1623400</v>
      </c>
      <c r="D113" s="49">
        <f>SUM('POSEBNI DIO 24-52'!H695,)</f>
        <v>0</v>
      </c>
      <c r="E113" s="49">
        <f>SUM('POSEBNI DIO 24-52'!I695,)</f>
        <v>5200</v>
      </c>
      <c r="F113" s="49">
        <f>SUM('POSEBNI DIO 24-52'!J695,)</f>
        <v>1618200</v>
      </c>
      <c r="G113" s="49">
        <f>SUM('POSEBNI DIO 24-52'!K695,)</f>
        <v>449000</v>
      </c>
      <c r="H113" s="49">
        <f>SUM('POSEBNI DIO 24-52'!L695,)</f>
        <v>0</v>
      </c>
      <c r="I113" s="49">
        <f>SUM('POSEBNI DIO 24-52'!M695,)</f>
        <v>0</v>
      </c>
      <c r="J113" s="49">
        <f>SUM('POSEBNI DIO 24-52'!N695,)</f>
        <v>449000</v>
      </c>
      <c r="K113" s="49">
        <f>SUM('POSEBNI DIO 24-52'!O695,)</f>
        <v>2072400</v>
      </c>
      <c r="L113" s="49">
        <f>SUM('POSEBNI DIO 24-52'!P695,)</f>
        <v>2067200</v>
      </c>
    </row>
    <row r="114" spans="1:12" ht="43.5" customHeight="1">
      <c r="A114" s="70" t="s">
        <v>770</v>
      </c>
      <c r="B114" s="51" t="s">
        <v>739</v>
      </c>
      <c r="C114" s="49">
        <f>SUM('POSEBNI DIO 24-52'!G705,)</f>
        <v>0</v>
      </c>
      <c r="D114" s="49">
        <f>SUM('POSEBNI DIO 24-52'!H705,)</f>
        <v>0</v>
      </c>
      <c r="E114" s="49">
        <f>SUM('POSEBNI DIO 24-52'!I705,)</f>
        <v>0</v>
      </c>
      <c r="F114" s="49">
        <f>SUM('POSEBNI DIO 24-52'!J705,)</f>
        <v>0</v>
      </c>
      <c r="G114" s="49">
        <f>SUM('POSEBNI DIO 24-52'!K705,)</f>
        <v>450000</v>
      </c>
      <c r="H114" s="49">
        <f>SUM('POSEBNI DIO 24-52'!L705,)</f>
        <v>0</v>
      </c>
      <c r="I114" s="49">
        <f>SUM('POSEBNI DIO 24-52'!M705,)</f>
        <v>0</v>
      </c>
      <c r="J114" s="49">
        <f>SUM('POSEBNI DIO 24-52'!N705,)</f>
        <v>450000</v>
      </c>
      <c r="K114" s="49">
        <f>SUM('POSEBNI DIO 24-52'!O705,)</f>
        <v>450000</v>
      </c>
      <c r="L114" s="49">
        <f>SUM('POSEBNI DIO 24-52'!P705,)</f>
        <v>450000</v>
      </c>
    </row>
    <row r="115" spans="1:12" ht="66.75" customHeight="1">
      <c r="A115" s="70" t="s">
        <v>766</v>
      </c>
      <c r="B115" s="51" t="s">
        <v>740</v>
      </c>
      <c r="C115" s="49">
        <f>SUM('POSEBNI DIO 24-52'!G979)</f>
        <v>16000</v>
      </c>
      <c r="D115" s="49">
        <f>SUM('POSEBNI DIO 24-52'!H979)</f>
        <v>34043.37</v>
      </c>
      <c r="E115" s="49">
        <f>SUM('POSEBNI DIO 24-52'!I979)</f>
        <v>0</v>
      </c>
      <c r="F115" s="49">
        <f>SUM('POSEBNI DIO 24-52'!J979)</f>
        <v>50043.37</v>
      </c>
      <c r="G115" s="49">
        <f>SUM('POSEBNI DIO 24-52'!K979)</f>
        <v>0</v>
      </c>
      <c r="H115" s="49">
        <f>SUM('POSEBNI DIO 24-52'!L979)</f>
        <v>0</v>
      </c>
      <c r="I115" s="49">
        <f>SUM('POSEBNI DIO 24-52'!M979)</f>
        <v>0</v>
      </c>
      <c r="J115" s="49">
        <f>SUM('POSEBNI DIO 24-52'!N979)</f>
        <v>0</v>
      </c>
      <c r="K115" s="49">
        <f>SUM('POSEBNI DIO 24-52'!O979)</f>
        <v>16000</v>
      </c>
      <c r="L115" s="49">
        <f>SUM('POSEBNI DIO 24-52'!P979)</f>
        <v>50043.37</v>
      </c>
    </row>
    <row r="116" spans="1:12" ht="33.75" customHeight="1" thickBot="1">
      <c r="A116" s="70" t="s">
        <v>767</v>
      </c>
      <c r="B116" s="1035" t="s">
        <v>1120</v>
      </c>
      <c r="C116" s="49">
        <f>SUM('POSEBNI DIO 24-52'!G725,)</f>
        <v>0</v>
      </c>
      <c r="D116" s="49">
        <f>SUM('POSEBNI DIO 24-52'!H725,)</f>
        <v>0</v>
      </c>
      <c r="E116" s="49">
        <f>SUM('POSEBNI DIO 24-52'!I725,)</f>
        <v>0</v>
      </c>
      <c r="F116" s="49">
        <f>SUM('POSEBNI DIO 24-52'!J725,)</f>
        <v>0</v>
      </c>
      <c r="G116" s="49">
        <f>SUM('POSEBNI DIO 24-52'!K725,)</f>
        <v>0</v>
      </c>
      <c r="H116" s="49">
        <f>SUM('POSEBNI DIO 24-52'!L725,)</f>
        <v>0</v>
      </c>
      <c r="I116" s="49">
        <f>SUM('POSEBNI DIO 24-52'!M725,)</f>
        <v>0</v>
      </c>
      <c r="J116" s="49">
        <f>SUM('POSEBNI DIO 24-52'!N725,)</f>
        <v>0</v>
      </c>
      <c r="K116" s="49">
        <f>SUM('POSEBNI DIO 24-52'!O725,)</f>
        <v>0</v>
      </c>
      <c r="L116" s="49">
        <f>SUM('POSEBNI DIO 24-52'!P725,)</f>
        <v>0</v>
      </c>
    </row>
    <row r="117" spans="1:16" ht="24.75" customHeight="1">
      <c r="A117" s="67" t="s">
        <v>131</v>
      </c>
      <c r="B117" s="57" t="s">
        <v>258</v>
      </c>
      <c r="C117" s="47">
        <f aca="true" t="shared" si="33" ref="C117:L117">SUM(C118:C122,)</f>
        <v>6450374.92</v>
      </c>
      <c r="D117" s="47">
        <f t="shared" si="33"/>
        <v>66000</v>
      </c>
      <c r="E117" s="47">
        <f t="shared" si="33"/>
        <v>37000</v>
      </c>
      <c r="F117" s="47">
        <f t="shared" si="33"/>
        <v>6479374.92</v>
      </c>
      <c r="G117" s="47">
        <f t="shared" si="33"/>
        <v>296657.49</v>
      </c>
      <c r="H117" s="47">
        <f t="shared" si="33"/>
        <v>0</v>
      </c>
      <c r="I117" s="47">
        <f t="shared" si="33"/>
        <v>7850</v>
      </c>
      <c r="J117" s="47">
        <f t="shared" si="33"/>
        <v>288807.49</v>
      </c>
      <c r="K117" s="47">
        <f t="shared" si="33"/>
        <v>6747032.41</v>
      </c>
      <c r="L117" s="47">
        <f t="shared" si="33"/>
        <v>6768182.41</v>
      </c>
      <c r="P117" s="75"/>
    </row>
    <row r="118" spans="1:12" ht="24.75" customHeight="1">
      <c r="A118" s="68" t="s">
        <v>129</v>
      </c>
      <c r="B118" s="48" t="s">
        <v>130</v>
      </c>
      <c r="C118" s="49">
        <f>SUM('POSEBNI DIO 24-52'!G758,)</f>
        <v>3005397.82</v>
      </c>
      <c r="D118" s="49">
        <f>SUM('POSEBNI DIO 24-52'!H758,)</f>
        <v>30000</v>
      </c>
      <c r="E118" s="49">
        <f>SUM('POSEBNI DIO 24-52'!I758,)</f>
        <v>37000</v>
      </c>
      <c r="F118" s="49">
        <f>SUM('POSEBNI DIO 24-52'!J758,)</f>
        <v>2998397.82</v>
      </c>
      <c r="G118" s="49">
        <f>SUM('POSEBNI DIO 24-52'!K758,)</f>
        <v>71657.48999999999</v>
      </c>
      <c r="H118" s="49">
        <f>SUM('POSEBNI DIO 24-52'!L758,)</f>
        <v>0</v>
      </c>
      <c r="I118" s="49">
        <f>SUM('POSEBNI DIO 24-52'!M758,)</f>
        <v>7850</v>
      </c>
      <c r="J118" s="49">
        <f>SUM('POSEBNI DIO 24-52'!N758,)</f>
        <v>63807.49</v>
      </c>
      <c r="K118" s="49">
        <f>SUM('POSEBNI DIO 24-52'!O758,)</f>
        <v>3077055.31</v>
      </c>
      <c r="L118" s="49">
        <f>SUM('POSEBNI DIO 24-52'!P758,)</f>
        <v>3062205.31</v>
      </c>
    </row>
    <row r="119" spans="1:12" ht="24.75" customHeight="1" thickBot="1">
      <c r="A119" s="68" t="s">
        <v>748</v>
      </c>
      <c r="B119" s="1035" t="s">
        <v>1120</v>
      </c>
      <c r="C119" s="49">
        <f>SUM('POSEBNI DIO 24-52'!G769,)</f>
        <v>50000</v>
      </c>
      <c r="D119" s="49">
        <f>SUM('POSEBNI DIO 24-52'!H769,)</f>
        <v>0</v>
      </c>
      <c r="E119" s="49">
        <f>SUM('POSEBNI DIO 24-52'!I769,)</f>
        <v>0</v>
      </c>
      <c r="F119" s="49">
        <f>SUM('POSEBNI DIO 24-52'!J769,)</f>
        <v>50000</v>
      </c>
      <c r="G119" s="49">
        <f>SUM('POSEBNI DIO 24-52'!K769,)</f>
        <v>0</v>
      </c>
      <c r="H119" s="49">
        <f>SUM('POSEBNI DIO 24-52'!L769,)</f>
        <v>0</v>
      </c>
      <c r="I119" s="49">
        <f>SUM('POSEBNI DIO 24-52'!M769,)</f>
        <v>0</v>
      </c>
      <c r="J119" s="49">
        <f>SUM('POSEBNI DIO 24-52'!N769,)</f>
        <v>0</v>
      </c>
      <c r="K119" s="49">
        <f>SUM('POSEBNI DIO 24-52'!O769,)</f>
        <v>50000</v>
      </c>
      <c r="L119" s="49">
        <f>SUM('POSEBNI DIO 24-52'!P769,)</f>
        <v>50000</v>
      </c>
    </row>
    <row r="120" spans="1:12" ht="24.75" customHeight="1">
      <c r="A120" s="68" t="s">
        <v>9</v>
      </c>
      <c r="B120" s="854" t="s">
        <v>1160</v>
      </c>
      <c r="C120" s="49">
        <f>SUM('POSEBNI DIO 24-52'!G792,)</f>
        <v>3069961.6000000006</v>
      </c>
      <c r="D120" s="49">
        <f>SUM('POSEBNI DIO 24-52'!H792,)</f>
        <v>0</v>
      </c>
      <c r="E120" s="49">
        <f>SUM('POSEBNI DIO 24-52'!I792,)</f>
        <v>0</v>
      </c>
      <c r="F120" s="49">
        <f>SUM('POSEBNI DIO 24-52'!J792,)</f>
        <v>3069961.6000000006</v>
      </c>
      <c r="G120" s="49">
        <f>SUM('POSEBNI DIO 24-52'!K792,)</f>
        <v>225000</v>
      </c>
      <c r="H120" s="49">
        <f>SUM('POSEBNI DIO 24-52'!L792,)</f>
        <v>0</v>
      </c>
      <c r="I120" s="49">
        <f>SUM('POSEBNI DIO 24-52'!M792,)</f>
        <v>0</v>
      </c>
      <c r="J120" s="49">
        <f>SUM('POSEBNI DIO 24-52'!N792,)</f>
        <v>225000</v>
      </c>
      <c r="K120" s="49">
        <f>SUM('POSEBNI DIO 24-52'!O792,)</f>
        <v>3294961.6000000006</v>
      </c>
      <c r="L120" s="49">
        <f>SUM('POSEBNI DIO 24-52'!P792,)</f>
        <v>3294961.6000000006</v>
      </c>
    </row>
    <row r="121" spans="1:12" ht="24.75" customHeight="1">
      <c r="A121" s="68" t="s">
        <v>10</v>
      </c>
      <c r="B121" s="854" t="s">
        <v>1161</v>
      </c>
      <c r="C121" s="49">
        <f>SUM('POSEBNI DIO 24-52'!G801)</f>
        <v>252500</v>
      </c>
      <c r="D121" s="49">
        <f>SUM('POSEBNI DIO 24-52'!H801)</f>
        <v>0</v>
      </c>
      <c r="E121" s="49">
        <f>SUM('POSEBNI DIO 24-52'!I801)</f>
        <v>0</v>
      </c>
      <c r="F121" s="49">
        <f>SUM('POSEBNI DIO 24-52'!J801)</f>
        <v>252500</v>
      </c>
      <c r="G121" s="49">
        <f>SUM('POSEBNI DIO 24-52'!K801)</f>
        <v>0</v>
      </c>
      <c r="H121" s="49">
        <f>SUM('POSEBNI DIO 24-52'!L801)</f>
        <v>0</v>
      </c>
      <c r="I121" s="49">
        <f>SUM('POSEBNI DIO 24-52'!M801)</f>
        <v>0</v>
      </c>
      <c r="J121" s="49">
        <f>SUM('POSEBNI DIO 24-52'!N801)</f>
        <v>0</v>
      </c>
      <c r="K121" s="49">
        <f>SUM('POSEBNI DIO 24-52'!O801)</f>
        <v>252500</v>
      </c>
      <c r="L121" s="49">
        <f>SUM('POSEBNI DIO 24-52'!P801)</f>
        <v>252500</v>
      </c>
    </row>
    <row r="122" spans="1:12" ht="24.75" customHeight="1">
      <c r="A122" s="826" t="s">
        <v>1159</v>
      </c>
      <c r="B122" s="854" t="s">
        <v>1162</v>
      </c>
      <c r="C122" s="49">
        <f>SUM('POSEBNI DIO 24-52'!G814)</f>
        <v>72515.5</v>
      </c>
      <c r="D122" s="49">
        <f>SUM('POSEBNI DIO 24-52'!H814)</f>
        <v>36000</v>
      </c>
      <c r="E122" s="49">
        <f>SUM('POSEBNI DIO 24-52'!I814)</f>
        <v>0</v>
      </c>
      <c r="F122" s="49">
        <f>SUM('POSEBNI DIO 24-52'!J814)</f>
        <v>108515.5</v>
      </c>
      <c r="G122" s="49">
        <f>SUM('POSEBNI DIO 24-52'!K814)</f>
        <v>0</v>
      </c>
      <c r="H122" s="49">
        <f>SUM('POSEBNI DIO 24-52'!L814)</f>
        <v>0</v>
      </c>
      <c r="I122" s="49">
        <f>SUM('POSEBNI DIO 24-52'!M814)</f>
        <v>0</v>
      </c>
      <c r="J122" s="49">
        <f>SUM('POSEBNI DIO 24-52'!N814)</f>
        <v>0</v>
      </c>
      <c r="K122" s="49">
        <f>SUM('POSEBNI DIO 24-52'!O814)</f>
        <v>72515.5</v>
      </c>
      <c r="L122" s="49">
        <f>SUM('POSEBNI DIO 24-52'!P814)</f>
        <v>108515.5</v>
      </c>
    </row>
    <row r="123" spans="1:12" ht="24.75" customHeight="1">
      <c r="A123" s="67" t="s">
        <v>706</v>
      </c>
      <c r="B123" s="57" t="s">
        <v>741</v>
      </c>
      <c r="C123" s="47">
        <f aca="true" t="shared" si="34" ref="C123:L123">SUM(C124,)</f>
        <v>429500</v>
      </c>
      <c r="D123" s="47">
        <f t="shared" si="34"/>
        <v>0</v>
      </c>
      <c r="E123" s="47">
        <f t="shared" si="34"/>
        <v>15000</v>
      </c>
      <c r="F123" s="47">
        <f t="shared" si="34"/>
        <v>414500</v>
      </c>
      <c r="G123" s="47">
        <f t="shared" si="34"/>
        <v>0</v>
      </c>
      <c r="H123" s="47">
        <f t="shared" si="34"/>
        <v>0</v>
      </c>
      <c r="I123" s="47">
        <f t="shared" si="34"/>
        <v>0</v>
      </c>
      <c r="J123" s="47">
        <f t="shared" si="34"/>
        <v>0</v>
      </c>
      <c r="K123" s="47">
        <f t="shared" si="34"/>
        <v>429500</v>
      </c>
      <c r="L123" s="47">
        <f t="shared" si="34"/>
        <v>414500</v>
      </c>
    </row>
    <row r="124" spans="1:12" ht="24.75" customHeight="1">
      <c r="A124" s="68" t="s">
        <v>126</v>
      </c>
      <c r="B124" s="48" t="s">
        <v>741</v>
      </c>
      <c r="C124" s="49">
        <f>SUM('POSEBNI DIO 24-52'!G833,)</f>
        <v>429500</v>
      </c>
      <c r="D124" s="49">
        <f>SUM('POSEBNI DIO 24-52'!H833,)</f>
        <v>0</v>
      </c>
      <c r="E124" s="49">
        <f>SUM('POSEBNI DIO 24-52'!I833,)</f>
        <v>15000</v>
      </c>
      <c r="F124" s="49">
        <f>SUM('POSEBNI DIO 24-52'!J833,)</f>
        <v>414500</v>
      </c>
      <c r="G124" s="49">
        <f>SUM('POSEBNI DIO 24-52'!K833,)</f>
        <v>0</v>
      </c>
      <c r="H124" s="49">
        <f>SUM('POSEBNI DIO 24-52'!L833,)</f>
        <v>0</v>
      </c>
      <c r="I124" s="49">
        <f>SUM('POSEBNI DIO 24-52'!M833,)</f>
        <v>0</v>
      </c>
      <c r="J124" s="49">
        <f>SUM('POSEBNI DIO 24-52'!N833,)</f>
        <v>0</v>
      </c>
      <c r="K124" s="49">
        <f>SUM('POSEBNI DIO 24-52'!O833,)</f>
        <v>429500</v>
      </c>
      <c r="L124" s="49">
        <f>SUM('POSEBNI DIO 24-52'!P833,)</f>
        <v>414500</v>
      </c>
    </row>
    <row r="125" spans="1:12" ht="24.75" customHeight="1">
      <c r="A125" s="67" t="s">
        <v>135</v>
      </c>
      <c r="B125" s="57" t="s">
        <v>440</v>
      </c>
      <c r="C125" s="47">
        <f aca="true" t="shared" si="35" ref="C125:L125">SUM(C126,)</f>
        <v>769400</v>
      </c>
      <c r="D125" s="47">
        <f t="shared" si="35"/>
        <v>0</v>
      </c>
      <c r="E125" s="47">
        <f t="shared" si="35"/>
        <v>44000</v>
      </c>
      <c r="F125" s="47">
        <f t="shared" si="35"/>
        <v>725400</v>
      </c>
      <c r="G125" s="47">
        <f t="shared" si="35"/>
        <v>0</v>
      </c>
      <c r="H125" s="47">
        <f t="shared" si="35"/>
        <v>0</v>
      </c>
      <c r="I125" s="47">
        <f t="shared" si="35"/>
        <v>0</v>
      </c>
      <c r="J125" s="47">
        <f t="shared" si="35"/>
        <v>0</v>
      </c>
      <c r="K125" s="47">
        <f t="shared" si="35"/>
        <v>769400</v>
      </c>
      <c r="L125" s="47">
        <f t="shared" si="35"/>
        <v>725400</v>
      </c>
    </row>
    <row r="126" spans="1:12" ht="24.75" customHeight="1">
      <c r="A126" s="68" t="s">
        <v>134</v>
      </c>
      <c r="B126" s="48" t="s">
        <v>440</v>
      </c>
      <c r="C126" s="49">
        <f>SUM('POSEBNI DIO 24-52'!G855,)</f>
        <v>769400</v>
      </c>
      <c r="D126" s="49">
        <f>SUM('POSEBNI DIO 24-52'!H855,)</f>
        <v>0</v>
      </c>
      <c r="E126" s="49">
        <f>SUM('POSEBNI DIO 24-52'!I855,)</f>
        <v>44000</v>
      </c>
      <c r="F126" s="49">
        <f>SUM('POSEBNI DIO 24-52'!J855,)</f>
        <v>725400</v>
      </c>
      <c r="G126" s="49">
        <f>SUM('POSEBNI DIO 24-52'!K855,)</f>
        <v>0</v>
      </c>
      <c r="H126" s="49">
        <f>SUM('POSEBNI DIO 24-52'!L855,)</f>
        <v>0</v>
      </c>
      <c r="I126" s="49">
        <f>SUM('POSEBNI DIO 24-52'!M855,)</f>
        <v>0</v>
      </c>
      <c r="J126" s="49">
        <f>SUM('POSEBNI DIO 24-52'!N855,)</f>
        <v>0</v>
      </c>
      <c r="K126" s="49">
        <f>SUM('POSEBNI DIO 24-52'!O855,)</f>
        <v>769400</v>
      </c>
      <c r="L126" s="49">
        <f>SUM('POSEBNI DIO 24-52'!P855,)</f>
        <v>725400</v>
      </c>
    </row>
    <row r="127" spans="1:12" ht="24.75" customHeight="1">
      <c r="A127" s="76" t="s">
        <v>705</v>
      </c>
      <c r="B127" s="64" t="s">
        <v>266</v>
      </c>
      <c r="C127" s="77">
        <f aca="true" t="shared" si="36" ref="C127:L127">SUM(C128)</f>
        <v>632000</v>
      </c>
      <c r="D127" s="77">
        <f t="shared" si="36"/>
        <v>0</v>
      </c>
      <c r="E127" s="77">
        <f t="shared" si="36"/>
        <v>10000</v>
      </c>
      <c r="F127" s="77">
        <f t="shared" si="36"/>
        <v>622000</v>
      </c>
      <c r="G127" s="77">
        <f t="shared" si="36"/>
        <v>0</v>
      </c>
      <c r="H127" s="77">
        <f t="shared" si="36"/>
        <v>0</v>
      </c>
      <c r="I127" s="77">
        <f t="shared" si="36"/>
        <v>0</v>
      </c>
      <c r="J127" s="77">
        <f t="shared" si="36"/>
        <v>0</v>
      </c>
      <c r="K127" s="77">
        <f t="shared" si="36"/>
        <v>632000</v>
      </c>
      <c r="L127" s="77">
        <f t="shared" si="36"/>
        <v>622000</v>
      </c>
    </row>
    <row r="128" spans="1:12" ht="24.75" customHeight="1">
      <c r="A128" s="70" t="s">
        <v>147</v>
      </c>
      <c r="B128" s="51" t="s">
        <v>266</v>
      </c>
      <c r="C128" s="65">
        <f>SUM('POSEBNI DIO 24-52'!G878)</f>
        <v>632000</v>
      </c>
      <c r="D128" s="65">
        <f>SUM('POSEBNI DIO 24-52'!H878)</f>
        <v>0</v>
      </c>
      <c r="E128" s="65">
        <f>SUM('POSEBNI DIO 24-52'!I878)</f>
        <v>10000</v>
      </c>
      <c r="F128" s="65">
        <f>SUM('POSEBNI DIO 24-52'!J878)</f>
        <v>622000</v>
      </c>
      <c r="G128" s="65">
        <f>SUM('POSEBNI DIO 24-52'!K878)</f>
        <v>0</v>
      </c>
      <c r="H128" s="65">
        <f>SUM('POSEBNI DIO 24-52'!L878)</f>
        <v>0</v>
      </c>
      <c r="I128" s="65">
        <f>SUM('POSEBNI DIO 24-52'!M878)</f>
        <v>0</v>
      </c>
      <c r="J128" s="65">
        <f>SUM('POSEBNI DIO 24-52'!N878)</f>
        <v>0</v>
      </c>
      <c r="K128" s="65">
        <f>SUM('POSEBNI DIO 24-52'!O878)</f>
        <v>632000</v>
      </c>
      <c r="L128" s="65">
        <f>SUM('POSEBNI DIO 24-52'!P878)</f>
        <v>622000</v>
      </c>
    </row>
    <row r="129" spans="1:12" ht="27" customHeight="1">
      <c r="A129" s="76" t="s">
        <v>166</v>
      </c>
      <c r="B129" s="63" t="s">
        <v>167</v>
      </c>
      <c r="C129" s="77">
        <f aca="true" t="shared" si="37" ref="C129:L129">SUM(C130)</f>
        <v>140100</v>
      </c>
      <c r="D129" s="77">
        <f t="shared" si="37"/>
        <v>0</v>
      </c>
      <c r="E129" s="77">
        <f t="shared" si="37"/>
        <v>200</v>
      </c>
      <c r="F129" s="77">
        <f t="shared" si="37"/>
        <v>139900</v>
      </c>
      <c r="G129" s="77">
        <f t="shared" si="37"/>
        <v>0</v>
      </c>
      <c r="H129" s="77">
        <f t="shared" si="37"/>
        <v>0</v>
      </c>
      <c r="I129" s="77">
        <f t="shared" si="37"/>
        <v>0</v>
      </c>
      <c r="J129" s="77">
        <f t="shared" si="37"/>
        <v>0</v>
      </c>
      <c r="K129" s="77">
        <f t="shared" si="37"/>
        <v>140100</v>
      </c>
      <c r="L129" s="77">
        <f t="shared" si="37"/>
        <v>139900</v>
      </c>
    </row>
    <row r="130" spans="1:12" ht="35.25" customHeight="1">
      <c r="A130" s="70" t="s">
        <v>168</v>
      </c>
      <c r="B130" s="51" t="s">
        <v>167</v>
      </c>
      <c r="C130" s="65">
        <f>SUM('POSEBNI DIO 24-52'!G898,)</f>
        <v>140100</v>
      </c>
      <c r="D130" s="65">
        <f>SUM('POSEBNI DIO 24-52'!H898,)</f>
        <v>0</v>
      </c>
      <c r="E130" s="65">
        <f>SUM('POSEBNI DIO 24-52'!I898,)</f>
        <v>200</v>
      </c>
      <c r="F130" s="65">
        <f>SUM('POSEBNI DIO 24-52'!J898,)</f>
        <v>139900</v>
      </c>
      <c r="G130" s="65">
        <f>SUM('POSEBNI DIO 24-52'!K898,)</f>
        <v>0</v>
      </c>
      <c r="H130" s="65">
        <f>SUM('POSEBNI DIO 24-52'!L898,)</f>
        <v>0</v>
      </c>
      <c r="I130" s="65">
        <f>SUM('POSEBNI DIO 24-52'!M898,)</f>
        <v>0</v>
      </c>
      <c r="J130" s="65">
        <f>SUM('POSEBNI DIO 24-52'!N898,)</f>
        <v>0</v>
      </c>
      <c r="K130" s="65">
        <f>SUM('POSEBNI DIO 24-52'!O898,)</f>
        <v>140100</v>
      </c>
      <c r="L130" s="65">
        <f>SUM('POSEBNI DIO 24-52'!P898,)</f>
        <v>139900</v>
      </c>
    </row>
    <row r="131" spans="1:12" ht="35.25" customHeight="1">
      <c r="A131" s="67" t="s">
        <v>1027</v>
      </c>
      <c r="B131" s="64" t="s">
        <v>1029</v>
      </c>
      <c r="C131" s="47">
        <f>SUM(C132:C133)</f>
        <v>3824200</v>
      </c>
      <c r="D131" s="47">
        <f aca="true" t="shared" si="38" ref="D131:L131">SUM(D132:D133)</f>
        <v>630000</v>
      </c>
      <c r="E131" s="47">
        <f t="shared" si="38"/>
        <v>158000</v>
      </c>
      <c r="F131" s="47">
        <f t="shared" si="38"/>
        <v>4296200</v>
      </c>
      <c r="G131" s="47">
        <f t="shared" si="38"/>
        <v>0</v>
      </c>
      <c r="H131" s="47">
        <f t="shared" si="38"/>
        <v>0</v>
      </c>
      <c r="I131" s="47">
        <f t="shared" si="38"/>
        <v>0</v>
      </c>
      <c r="J131" s="47">
        <f t="shared" si="38"/>
        <v>0</v>
      </c>
      <c r="K131" s="47">
        <f t="shared" si="38"/>
        <v>3824200</v>
      </c>
      <c r="L131" s="47">
        <f t="shared" si="38"/>
        <v>4296200</v>
      </c>
    </row>
    <row r="132" spans="1:12" ht="35.25" customHeight="1" thickBot="1">
      <c r="A132" s="1034" t="s">
        <v>1028</v>
      </c>
      <c r="B132" s="1035" t="s">
        <v>1029</v>
      </c>
      <c r="C132" s="1033">
        <f>SUM('POSEBNI DIO 24-52'!G957)</f>
        <v>3824200</v>
      </c>
      <c r="D132" s="1033">
        <f>SUM('POSEBNI DIO 24-52'!H957)</f>
        <v>30000</v>
      </c>
      <c r="E132" s="1033">
        <f>SUM('POSEBNI DIO 24-52'!I957)</f>
        <v>158000</v>
      </c>
      <c r="F132" s="1033">
        <f>SUM('POSEBNI DIO 24-52'!J957)</f>
        <v>3696200</v>
      </c>
      <c r="G132" s="1033">
        <f>SUM('POSEBNI DIO 24-52'!K957)</f>
        <v>0</v>
      </c>
      <c r="H132" s="1033">
        <f>SUM('POSEBNI DIO 24-52'!L957)</f>
        <v>0</v>
      </c>
      <c r="I132" s="1033">
        <f>SUM('POSEBNI DIO 24-52'!M957)</f>
        <v>0</v>
      </c>
      <c r="J132" s="1033">
        <f>SUM('POSEBNI DIO 24-52'!N957)</f>
        <v>0</v>
      </c>
      <c r="K132" s="1033">
        <f>SUM('POSEBNI DIO 24-52'!O957)</f>
        <v>3824200</v>
      </c>
      <c r="L132" s="1033">
        <f>SUM('POSEBNI DIO 24-52'!P957)</f>
        <v>3696200</v>
      </c>
    </row>
    <row r="133" spans="1:12" ht="46.5" customHeight="1" thickBot="1">
      <c r="A133" s="1499" t="s">
        <v>1437</v>
      </c>
      <c r="B133" s="1475" t="s">
        <v>1426</v>
      </c>
      <c r="C133" s="1500">
        <f>SUM('POSEBNI DIO 24-52'!G968)</f>
        <v>0</v>
      </c>
      <c r="D133" s="1500">
        <f>SUM('POSEBNI DIO 24-52'!H968)</f>
        <v>600000</v>
      </c>
      <c r="E133" s="1500">
        <f>SUM('POSEBNI DIO 24-52'!I968)</f>
        <v>0</v>
      </c>
      <c r="F133" s="1500">
        <f>SUM('POSEBNI DIO 24-52'!J968)</f>
        <v>600000</v>
      </c>
      <c r="G133" s="1500">
        <f>SUM('POSEBNI DIO 24-52'!K968)</f>
        <v>0</v>
      </c>
      <c r="H133" s="1500">
        <f>SUM('POSEBNI DIO 24-52'!L968)</f>
        <v>0</v>
      </c>
      <c r="I133" s="1500">
        <f>SUM('POSEBNI DIO 24-52'!M968)</f>
        <v>0</v>
      </c>
      <c r="J133" s="1500">
        <f>SUM('POSEBNI DIO 24-52'!N968)</f>
        <v>0</v>
      </c>
      <c r="K133" s="1500">
        <f>SUM('POSEBNI DIO 24-52'!O968)</f>
        <v>0</v>
      </c>
      <c r="L133" s="1500">
        <f>SUM('POSEBNI DIO 24-52'!P968)</f>
        <v>600000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rstPageNumber="30" useFirstPageNumber="1" horizontalDpi="600" verticalDpi="600" orientation="landscape" paperSize="9" scale="38" r:id="rId1"/>
  <headerFooter alignWithMargins="0">
    <oddHeader>&amp;C&amp;18&amp;P</oddHeader>
  </headerFooter>
  <rowBreaks count="4" manualBreakCount="4">
    <brk id="16" max="11" man="1"/>
    <brk id="47" max="11" man="1"/>
    <brk id="68" max="11" man="1"/>
    <brk id="100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K989"/>
  <sheetViews>
    <sheetView tabSelected="1" view="pageBreakPreview" zoomScale="50" zoomScaleNormal="75" zoomScaleSheetLayoutView="50" zoomScalePageLayoutView="0" workbookViewId="0" topLeftCell="H978">
      <selection activeCell="G217" sqref="G217"/>
    </sheetView>
  </sheetViews>
  <sheetFormatPr defaultColWidth="9.140625" defaultRowHeight="12.75"/>
  <cols>
    <col min="1" max="1" width="5.8515625" style="378" customWidth="1"/>
    <col min="2" max="2" width="5.7109375" style="378" customWidth="1"/>
    <col min="3" max="3" width="8.8515625" style="378" customWidth="1"/>
    <col min="4" max="4" width="17.140625" style="378" customWidth="1"/>
    <col min="5" max="5" width="22.421875" style="378" customWidth="1"/>
    <col min="6" max="6" width="101.57421875" style="378" customWidth="1"/>
    <col min="7" max="16" width="36.140625" style="378" customWidth="1"/>
    <col min="17" max="16384" width="9.140625" style="378" customWidth="1"/>
  </cols>
  <sheetData>
    <row r="1" spans="1:16" ht="60">
      <c r="A1" s="376"/>
      <c r="B1" s="1540" t="s">
        <v>1036</v>
      </c>
      <c r="C1" s="1540"/>
      <c r="D1" s="1540"/>
      <c r="E1" s="1540"/>
      <c r="F1" s="1540"/>
      <c r="G1" s="377"/>
      <c r="H1" s="377"/>
      <c r="I1" s="377"/>
      <c r="J1" s="377"/>
      <c r="K1" s="377"/>
      <c r="L1" s="377"/>
      <c r="M1" s="377"/>
      <c r="N1" s="377"/>
      <c r="O1" s="377"/>
      <c r="P1" s="377"/>
    </row>
    <row r="2" spans="1:16" ht="26.25">
      <c r="A2" s="376"/>
      <c r="B2" s="379"/>
      <c r="C2" s="379"/>
      <c r="D2" s="379"/>
      <c r="E2" s="380"/>
      <c r="F2" s="376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1:16" ht="26.25">
      <c r="A3" s="376"/>
      <c r="B3" s="379"/>
      <c r="C3" s="379"/>
      <c r="D3" s="379"/>
      <c r="E3" s="380"/>
      <c r="F3" s="376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1:16" ht="26.25">
      <c r="A4" s="376"/>
      <c r="B4" s="379"/>
      <c r="C4" s="379"/>
      <c r="D4" s="379"/>
      <c r="E4" s="380"/>
      <c r="F4" s="376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1:16" ht="26.25">
      <c r="A5" s="376"/>
      <c r="B5" s="379"/>
      <c r="C5" s="379"/>
      <c r="D5" s="379"/>
      <c r="E5" s="380"/>
      <c r="F5" s="376"/>
      <c r="G5" s="377"/>
      <c r="H5" s="377"/>
      <c r="I5" s="377"/>
      <c r="J5" s="377"/>
      <c r="K5" s="377"/>
      <c r="L5" s="377"/>
      <c r="M5" s="377"/>
      <c r="N5" s="377"/>
      <c r="O5" s="377"/>
      <c r="P5" s="377"/>
    </row>
    <row r="6" spans="1:16" ht="25.5">
      <c r="A6" s="376"/>
      <c r="B6" s="376"/>
      <c r="C6" s="376"/>
      <c r="D6" s="376"/>
      <c r="E6" s="381"/>
      <c r="F6" s="376"/>
      <c r="G6" s="377"/>
      <c r="H6" s="377"/>
      <c r="I6" s="377"/>
      <c r="J6" s="377"/>
      <c r="K6" s="377"/>
      <c r="L6" s="377"/>
      <c r="M6" s="377"/>
      <c r="N6" s="377"/>
      <c r="O6" s="377"/>
      <c r="P6" s="377"/>
    </row>
    <row r="7" spans="1:16" ht="25.5">
      <c r="A7" s="376"/>
      <c r="B7" s="376"/>
      <c r="C7" s="376"/>
      <c r="D7" s="376"/>
      <c r="E7" s="381"/>
      <c r="F7" s="376"/>
      <c r="G7" s="377"/>
      <c r="H7" s="377"/>
      <c r="I7" s="377"/>
      <c r="J7" s="377"/>
      <c r="K7" s="377"/>
      <c r="L7" s="377"/>
      <c r="M7" s="377"/>
      <c r="N7" s="377"/>
      <c r="O7" s="377"/>
      <c r="P7" s="377"/>
    </row>
    <row r="8" spans="1:16" ht="25.5">
      <c r="A8" s="376"/>
      <c r="B8" s="376"/>
      <c r="C8" s="376"/>
      <c r="D8" s="376"/>
      <c r="E8" s="381"/>
      <c r="F8" s="376"/>
      <c r="G8" s="377"/>
      <c r="H8" s="377"/>
      <c r="I8" s="377"/>
      <c r="J8" s="377"/>
      <c r="K8" s="377"/>
      <c r="L8" s="377"/>
      <c r="M8" s="377"/>
      <c r="N8" s="377"/>
      <c r="O8" s="377"/>
      <c r="P8" s="377"/>
    </row>
    <row r="9" spans="1:16" ht="25.5">
      <c r="A9" s="376"/>
      <c r="B9" s="376"/>
      <c r="C9" s="376"/>
      <c r="D9" s="376"/>
      <c r="E9" s="381"/>
      <c r="F9" s="376"/>
      <c r="G9" s="377"/>
      <c r="H9" s="377"/>
      <c r="I9" s="377"/>
      <c r="J9" s="377"/>
      <c r="K9" s="377"/>
      <c r="L9" s="377"/>
      <c r="M9" s="377"/>
      <c r="N9" s="377"/>
      <c r="O9" s="377"/>
      <c r="P9" s="377"/>
    </row>
    <row r="10" spans="1:16" ht="25.5">
      <c r="A10" s="376"/>
      <c r="B10" s="376"/>
      <c r="C10" s="376"/>
      <c r="D10" s="376"/>
      <c r="E10" s="381"/>
      <c r="F10" s="376"/>
      <c r="G10" s="377"/>
      <c r="H10" s="377"/>
      <c r="I10" s="377"/>
      <c r="J10" s="377"/>
      <c r="K10" s="377"/>
      <c r="L10" s="377"/>
      <c r="M10" s="377"/>
      <c r="N10" s="377"/>
      <c r="O10" s="377"/>
      <c r="P10" s="377"/>
    </row>
    <row r="11" spans="1:16" ht="25.5">
      <c r="A11" s="376"/>
      <c r="B11" s="376"/>
      <c r="C11" s="376"/>
      <c r="D11" s="376"/>
      <c r="E11" s="381"/>
      <c r="F11" s="376"/>
      <c r="G11" s="377"/>
      <c r="H11" s="377"/>
      <c r="I11" s="377"/>
      <c r="J11" s="377"/>
      <c r="K11" s="377"/>
      <c r="L11" s="377"/>
      <c r="M11" s="377"/>
      <c r="N11" s="377"/>
      <c r="O11" s="377"/>
      <c r="P11" s="377"/>
    </row>
    <row r="12" spans="1:16" ht="25.5">
      <c r="A12" s="376"/>
      <c r="B12" s="376"/>
      <c r="C12" s="376"/>
      <c r="D12" s="376"/>
      <c r="E12" s="381"/>
      <c r="F12" s="376"/>
      <c r="G12" s="377"/>
      <c r="H12" s="377"/>
      <c r="I12" s="377"/>
      <c r="J12" s="377"/>
      <c r="K12" s="377"/>
      <c r="L12" s="377"/>
      <c r="M12" s="377"/>
      <c r="N12" s="377"/>
      <c r="O12" s="377"/>
      <c r="P12" s="377"/>
    </row>
    <row r="13" spans="1:16" ht="25.5">
      <c r="A13" s="376"/>
      <c r="B13" s="376"/>
      <c r="C13" s="376"/>
      <c r="D13" s="376"/>
      <c r="E13" s="381"/>
      <c r="F13" s="376"/>
      <c r="G13" s="377"/>
      <c r="H13" s="377"/>
      <c r="I13" s="377"/>
      <c r="J13" s="377"/>
      <c r="K13" s="377"/>
      <c r="L13" s="377"/>
      <c r="M13" s="377"/>
      <c r="N13" s="377"/>
      <c r="O13" s="377"/>
      <c r="P13" s="377"/>
    </row>
    <row r="14" spans="1:16" ht="25.5">
      <c r="A14" s="376"/>
      <c r="B14" s="376"/>
      <c r="C14" s="376"/>
      <c r="D14" s="376"/>
      <c r="E14" s="381"/>
      <c r="F14" s="376"/>
      <c r="G14" s="377"/>
      <c r="H14" s="377"/>
      <c r="I14" s="377"/>
      <c r="J14" s="377"/>
      <c r="K14" s="377"/>
      <c r="L14" s="377"/>
      <c r="M14" s="377"/>
      <c r="N14" s="377"/>
      <c r="O14" s="377"/>
      <c r="P14" s="377"/>
    </row>
    <row r="15" spans="1:16" ht="25.5">
      <c r="A15" s="376"/>
      <c r="B15" s="376"/>
      <c r="C15" s="376"/>
      <c r="D15" s="376"/>
      <c r="E15" s="381"/>
      <c r="F15" s="376"/>
      <c r="G15" s="377"/>
      <c r="H15" s="377"/>
      <c r="I15" s="377"/>
      <c r="J15" s="377"/>
      <c r="K15" s="377"/>
      <c r="L15" s="377"/>
      <c r="M15" s="377"/>
      <c r="N15" s="377"/>
      <c r="O15" s="377"/>
      <c r="P15" s="377"/>
    </row>
    <row r="16" spans="1:16" ht="25.5">
      <c r="A16" s="376"/>
      <c r="B16" s="376"/>
      <c r="C16" s="376"/>
      <c r="D16" s="376"/>
      <c r="E16" s="381"/>
      <c r="F16" s="376"/>
      <c r="G16" s="377"/>
      <c r="H16" s="377"/>
      <c r="I16" s="377"/>
      <c r="J16" s="377"/>
      <c r="K16" s="377"/>
      <c r="L16" s="377"/>
      <c r="M16" s="377"/>
      <c r="N16" s="377"/>
      <c r="O16" s="377"/>
      <c r="P16" s="377"/>
    </row>
    <row r="17" spans="1:16" ht="25.5">
      <c r="A17" s="376"/>
      <c r="B17" s="376"/>
      <c r="C17" s="376"/>
      <c r="D17" s="376"/>
      <c r="E17" s="381"/>
      <c r="F17" s="376"/>
      <c r="G17" s="377"/>
      <c r="H17" s="377"/>
      <c r="I17" s="377"/>
      <c r="J17" s="377"/>
      <c r="K17" s="377"/>
      <c r="L17" s="377"/>
      <c r="M17" s="377"/>
      <c r="N17" s="377"/>
      <c r="O17" s="377"/>
      <c r="P17" s="377"/>
    </row>
    <row r="18" spans="1:16" ht="25.5">
      <c r="A18" s="376"/>
      <c r="B18" s="376"/>
      <c r="C18" s="376"/>
      <c r="D18" s="376"/>
      <c r="E18" s="381"/>
      <c r="F18" s="376"/>
      <c r="G18" s="377"/>
      <c r="H18" s="377"/>
      <c r="I18" s="377"/>
      <c r="J18" s="377"/>
      <c r="K18" s="377"/>
      <c r="L18" s="377"/>
      <c r="M18" s="377"/>
      <c r="N18" s="377"/>
      <c r="O18" s="377"/>
      <c r="P18" s="377"/>
    </row>
    <row r="19" spans="1:16" ht="25.5">
      <c r="A19" s="376"/>
      <c r="B19" s="376"/>
      <c r="C19" s="376"/>
      <c r="D19" s="376"/>
      <c r="E19" s="381"/>
      <c r="F19" s="376"/>
      <c r="G19" s="377"/>
      <c r="H19" s="377"/>
      <c r="I19" s="377"/>
      <c r="J19" s="377"/>
      <c r="K19" s="377"/>
      <c r="L19" s="377"/>
      <c r="M19" s="377"/>
      <c r="N19" s="377"/>
      <c r="O19" s="377"/>
      <c r="P19" s="377"/>
    </row>
    <row r="20" spans="1:16" ht="25.5">
      <c r="A20" s="376"/>
      <c r="B20" s="376"/>
      <c r="C20" s="376"/>
      <c r="D20" s="376"/>
      <c r="E20" s="381"/>
      <c r="F20" s="376"/>
      <c r="G20" s="377"/>
      <c r="H20" s="377"/>
      <c r="I20" s="377"/>
      <c r="J20" s="377"/>
      <c r="K20" s="377"/>
      <c r="L20" s="377"/>
      <c r="M20" s="377"/>
      <c r="N20" s="377"/>
      <c r="O20" s="377"/>
      <c r="P20" s="377"/>
    </row>
    <row r="21" spans="1:16" ht="34.5">
      <c r="A21" s="382"/>
      <c r="B21" s="382"/>
      <c r="C21" s="382"/>
      <c r="D21" s="382"/>
      <c r="E21" s="383"/>
      <c r="F21" s="382"/>
      <c r="G21" s="384"/>
      <c r="H21" s="384"/>
      <c r="I21" s="384"/>
      <c r="J21" s="384"/>
      <c r="K21" s="384"/>
      <c r="L21" s="384"/>
      <c r="M21" s="384"/>
      <c r="N21" s="384"/>
      <c r="O21" s="384"/>
      <c r="P21" s="384"/>
    </row>
    <row r="22" spans="1:16" ht="44.25">
      <c r="A22" s="386"/>
      <c r="B22" s="386"/>
      <c r="C22" s="386"/>
      <c r="D22" s="386"/>
      <c r="E22" s="1108" t="s">
        <v>817</v>
      </c>
      <c r="F22" s="1108"/>
      <c r="G22" s="387"/>
      <c r="H22" s="387"/>
      <c r="I22" s="387"/>
      <c r="J22" s="387"/>
      <c r="K22" s="387"/>
      <c r="L22" s="387"/>
      <c r="M22" s="387"/>
      <c r="N22" s="387"/>
      <c r="O22" s="387"/>
      <c r="P22" s="387"/>
    </row>
    <row r="23" spans="1:16" ht="44.25">
      <c r="A23" s="386"/>
      <c r="B23" s="386"/>
      <c r="C23" s="386"/>
      <c r="D23" s="386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</row>
    <row r="24" spans="1:16" ht="35.25">
      <c r="A24" s="382"/>
      <c r="B24" s="388"/>
      <c r="C24" s="388"/>
      <c r="D24" s="388"/>
      <c r="E24" s="388"/>
      <c r="F24" s="388"/>
      <c r="G24" s="385"/>
      <c r="H24" s="385"/>
      <c r="I24" s="385"/>
      <c r="J24" s="385"/>
      <c r="K24" s="385"/>
      <c r="L24" s="385"/>
      <c r="M24" s="385"/>
      <c r="N24" s="385"/>
      <c r="O24" s="385"/>
      <c r="P24" s="385"/>
    </row>
    <row r="25" spans="1:15" ht="34.5" customHeight="1">
      <c r="A25" s="389"/>
      <c r="B25" s="390"/>
      <c r="C25" s="1545" t="s">
        <v>1438</v>
      </c>
      <c r="D25" s="1545"/>
      <c r="E25" s="1545"/>
      <c r="F25" s="1545"/>
      <c r="G25" s="1545"/>
      <c r="H25" s="1545"/>
      <c r="I25" s="1545"/>
      <c r="J25" s="1545"/>
      <c r="K25" s="1545"/>
      <c r="L25" s="1545"/>
      <c r="M25" s="1545"/>
      <c r="N25" s="1545"/>
      <c r="O25" s="1545"/>
    </row>
    <row r="26" spans="1:15" ht="24.75" customHeight="1">
      <c r="A26" s="389"/>
      <c r="B26" s="390"/>
      <c r="C26" s="1545"/>
      <c r="D26" s="1545"/>
      <c r="E26" s="1545"/>
      <c r="F26" s="1545"/>
      <c r="G26" s="1545"/>
      <c r="H26" s="1545"/>
      <c r="I26" s="1545"/>
      <c r="J26" s="1545"/>
      <c r="K26" s="1545"/>
      <c r="L26" s="1545"/>
      <c r="M26" s="1545"/>
      <c r="N26" s="1545"/>
      <c r="O26" s="1545"/>
    </row>
    <row r="27" spans="1:15" ht="75" customHeight="1">
      <c r="A27" s="389"/>
      <c r="B27" s="390"/>
      <c r="C27" s="1545"/>
      <c r="D27" s="1545"/>
      <c r="E27" s="1545"/>
      <c r="F27" s="1545"/>
      <c r="G27" s="1545"/>
      <c r="H27" s="1545"/>
      <c r="I27" s="1545"/>
      <c r="J27" s="1545"/>
      <c r="K27" s="1545"/>
      <c r="L27" s="1545"/>
      <c r="M27" s="1545"/>
      <c r="N27" s="1545"/>
      <c r="O27" s="1545"/>
    </row>
    <row r="28" spans="1:16" ht="25.5">
      <c r="A28" s="376"/>
      <c r="B28" s="392"/>
      <c r="C28" s="392"/>
      <c r="D28" s="392"/>
      <c r="E28" s="393"/>
      <c r="F28" s="392"/>
      <c r="G28" s="377"/>
      <c r="H28" s="377"/>
      <c r="I28" s="377"/>
      <c r="J28" s="377"/>
      <c r="K28" s="377"/>
      <c r="L28" s="377"/>
      <c r="M28" s="377"/>
      <c r="N28" s="377"/>
      <c r="O28" s="377"/>
      <c r="P28" s="377"/>
    </row>
    <row r="29" spans="1:16" ht="25.5">
      <c r="A29" s="376"/>
      <c r="B29" s="394"/>
      <c r="C29" s="395"/>
      <c r="D29" s="395"/>
      <c r="E29" s="377"/>
      <c r="F29" s="395"/>
      <c r="G29" s="377"/>
      <c r="H29" s="377"/>
      <c r="I29" s="377"/>
      <c r="J29" s="377"/>
      <c r="K29" s="377"/>
      <c r="L29" s="377"/>
      <c r="M29" s="377"/>
      <c r="N29" s="377"/>
      <c r="O29" s="377"/>
      <c r="P29" s="377"/>
    </row>
    <row r="30" spans="1:16" ht="25.5">
      <c r="A30" s="376"/>
      <c r="B30" s="394"/>
      <c r="C30" s="395"/>
      <c r="D30" s="395"/>
      <c r="E30" s="377"/>
      <c r="F30" s="395"/>
      <c r="G30" s="377"/>
      <c r="H30" s="377"/>
      <c r="I30" s="377"/>
      <c r="J30" s="377"/>
      <c r="K30" s="377"/>
      <c r="L30" s="377"/>
      <c r="M30" s="377"/>
      <c r="N30" s="377"/>
      <c r="O30" s="377"/>
      <c r="P30" s="377"/>
    </row>
    <row r="31" spans="1:16" ht="25.5">
      <c r="A31" s="376"/>
      <c r="B31" s="376"/>
      <c r="C31" s="376"/>
      <c r="D31" s="376"/>
      <c r="E31" s="381"/>
      <c r="F31" s="376"/>
      <c r="G31" s="377"/>
      <c r="H31" s="377"/>
      <c r="I31" s="377"/>
      <c r="J31" s="377"/>
      <c r="K31" s="377"/>
      <c r="L31" s="377"/>
      <c r="M31" s="377"/>
      <c r="N31" s="377"/>
      <c r="O31" s="377"/>
      <c r="P31" s="377"/>
    </row>
    <row r="32" spans="1:16" ht="25.5">
      <c r="A32" s="376"/>
      <c r="B32" s="376"/>
      <c r="C32" s="376"/>
      <c r="D32" s="376"/>
      <c r="E32" s="381"/>
      <c r="F32" s="376"/>
      <c r="G32" s="377"/>
      <c r="H32" s="377"/>
      <c r="I32" s="377"/>
      <c r="J32" s="377"/>
      <c r="K32" s="377"/>
      <c r="L32" s="377"/>
      <c r="M32" s="377"/>
      <c r="N32" s="377"/>
      <c r="O32" s="377"/>
      <c r="P32" s="377"/>
    </row>
    <row r="33" spans="1:16" ht="25.5">
      <c r="A33" s="376"/>
      <c r="B33" s="376"/>
      <c r="C33" s="376"/>
      <c r="D33" s="376"/>
      <c r="E33" s="381"/>
      <c r="F33" s="376"/>
      <c r="G33" s="377"/>
      <c r="H33" s="377"/>
      <c r="I33" s="377"/>
      <c r="J33" s="377"/>
      <c r="K33" s="377"/>
      <c r="L33" s="377"/>
      <c r="M33" s="377"/>
      <c r="N33" s="377"/>
      <c r="O33" s="377"/>
      <c r="P33" s="377"/>
    </row>
    <row r="34" spans="1:16" ht="25.5">
      <c r="A34" s="376"/>
      <c r="B34" s="376"/>
      <c r="C34" s="396"/>
      <c r="D34" s="396"/>
      <c r="E34" s="397"/>
      <c r="F34" s="376"/>
      <c r="G34" s="377"/>
      <c r="H34" s="377"/>
      <c r="I34" s="377"/>
      <c r="J34" s="377"/>
      <c r="K34" s="377"/>
      <c r="L34" s="377"/>
      <c r="M34" s="377"/>
      <c r="N34" s="377"/>
      <c r="O34" s="377"/>
      <c r="P34" s="377"/>
    </row>
    <row r="35" spans="1:16" ht="25.5">
      <c r="A35" s="376"/>
      <c r="B35" s="376"/>
      <c r="C35" s="376"/>
      <c r="D35" s="376"/>
      <c r="E35" s="381"/>
      <c r="F35" s="376"/>
      <c r="G35" s="377"/>
      <c r="H35" s="377"/>
      <c r="I35" s="377"/>
      <c r="J35" s="377"/>
      <c r="K35" s="377"/>
      <c r="L35" s="377"/>
      <c r="M35" s="377"/>
      <c r="N35" s="377"/>
      <c r="O35" s="377"/>
      <c r="P35" s="377"/>
    </row>
    <row r="36" spans="1:16" ht="25.5">
      <c r="A36" s="376"/>
      <c r="B36" s="376"/>
      <c r="C36" s="376"/>
      <c r="D36" s="376"/>
      <c r="E36" s="381"/>
      <c r="F36" s="376"/>
      <c r="G36" s="377"/>
      <c r="H36" s="377"/>
      <c r="I36" s="377"/>
      <c r="J36" s="377"/>
      <c r="K36" s="377"/>
      <c r="L36" s="377"/>
      <c r="M36" s="377"/>
      <c r="N36" s="377"/>
      <c r="O36" s="377"/>
      <c r="P36" s="377"/>
    </row>
    <row r="37" spans="1:6" ht="5.25" customHeight="1">
      <c r="A37" s="398"/>
      <c r="B37" s="399"/>
      <c r="C37" s="398"/>
      <c r="D37" s="398"/>
      <c r="E37" s="400"/>
      <c r="F37" s="398"/>
    </row>
    <row r="38" spans="1:6" ht="30" customHeight="1" thickBot="1">
      <c r="A38" s="398"/>
      <c r="B38" s="1543" t="s">
        <v>505</v>
      </c>
      <c r="C38" s="1544"/>
      <c r="D38" s="1544"/>
      <c r="E38" s="1544"/>
      <c r="F38" s="398"/>
    </row>
    <row r="39" spans="1:16" ht="282.75" customHeight="1">
      <c r="A39" s="401" t="s">
        <v>494</v>
      </c>
      <c r="B39" s="402" t="s">
        <v>495</v>
      </c>
      <c r="C39" s="403" t="s">
        <v>687</v>
      </c>
      <c r="D39" s="404" t="s">
        <v>497</v>
      </c>
      <c r="E39" s="404" t="s">
        <v>188</v>
      </c>
      <c r="F39" s="405" t="s">
        <v>496</v>
      </c>
      <c r="G39" s="813" t="s">
        <v>1322</v>
      </c>
      <c r="H39" s="813" t="s">
        <v>1324</v>
      </c>
      <c r="I39" s="813" t="s">
        <v>1325</v>
      </c>
      <c r="J39" s="813" t="s">
        <v>1326</v>
      </c>
      <c r="K39" s="813" t="s">
        <v>1323</v>
      </c>
      <c r="L39" s="813" t="s">
        <v>1327</v>
      </c>
      <c r="M39" s="813" t="s">
        <v>1328</v>
      </c>
      <c r="N39" s="813" t="s">
        <v>1329</v>
      </c>
      <c r="O39" s="1278" t="s">
        <v>1321</v>
      </c>
      <c r="P39" s="1149" t="s">
        <v>1330</v>
      </c>
    </row>
    <row r="40" spans="1:16" ht="20.25">
      <c r="A40" s="1533">
        <v>0</v>
      </c>
      <c r="B40" s="1534"/>
      <c r="C40" s="1534"/>
      <c r="D40" s="409">
        <v>1</v>
      </c>
      <c r="E40" s="409">
        <v>2</v>
      </c>
      <c r="F40" s="410">
        <v>3</v>
      </c>
      <c r="G40" s="1150">
        <v>4</v>
      </c>
      <c r="H40" s="1150">
        <v>5</v>
      </c>
      <c r="I40" s="1150">
        <v>6</v>
      </c>
      <c r="J40" s="1150">
        <v>7</v>
      </c>
      <c r="K40" s="1150">
        <v>8</v>
      </c>
      <c r="L40" s="1150">
        <v>9</v>
      </c>
      <c r="M40" s="1150">
        <v>10</v>
      </c>
      <c r="N40" s="1150">
        <v>11</v>
      </c>
      <c r="O40" s="1150">
        <v>12</v>
      </c>
      <c r="P40" s="1151">
        <v>13</v>
      </c>
    </row>
    <row r="41" spans="1:44" s="416" customFormat="1" ht="46.5" customHeight="1">
      <c r="A41" s="411" t="s">
        <v>390</v>
      </c>
      <c r="B41" s="412"/>
      <c r="C41" s="412"/>
      <c r="D41" s="413"/>
      <c r="E41" s="413"/>
      <c r="F41" s="414" t="s">
        <v>441</v>
      </c>
      <c r="G41" s="415"/>
      <c r="H41" s="415"/>
      <c r="I41" s="415"/>
      <c r="J41" s="415"/>
      <c r="K41" s="415"/>
      <c r="L41" s="415"/>
      <c r="M41" s="415"/>
      <c r="N41" s="415"/>
      <c r="O41" s="415"/>
      <c r="P41" s="1152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8"/>
      <c r="AL41" s="378"/>
      <c r="AM41" s="378"/>
      <c r="AN41" s="378"/>
      <c r="AO41" s="378"/>
      <c r="AP41" s="378"/>
      <c r="AQ41" s="378"/>
      <c r="AR41" s="378"/>
    </row>
    <row r="42" spans="1:44" s="423" customFormat="1" ht="39" customHeight="1">
      <c r="A42" s="417" t="s">
        <v>390</v>
      </c>
      <c r="B42" s="418" t="s">
        <v>390</v>
      </c>
      <c r="C42" s="418"/>
      <c r="D42" s="419"/>
      <c r="E42" s="420"/>
      <c r="F42" s="421" t="s">
        <v>1134</v>
      </c>
      <c r="G42" s="422"/>
      <c r="H42" s="422"/>
      <c r="I42" s="422"/>
      <c r="J42" s="422"/>
      <c r="K42" s="422"/>
      <c r="L42" s="422"/>
      <c r="M42" s="422"/>
      <c r="N42" s="422"/>
      <c r="O42" s="422"/>
      <c r="P42" s="1153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378"/>
      <c r="AL42" s="378"/>
      <c r="AM42" s="378"/>
      <c r="AN42" s="378"/>
      <c r="AO42" s="378"/>
      <c r="AP42" s="378"/>
      <c r="AQ42" s="378"/>
      <c r="AR42" s="378"/>
    </row>
    <row r="43" spans="1:16" ht="39" customHeight="1">
      <c r="A43" s="424"/>
      <c r="B43" s="425"/>
      <c r="C43" s="425"/>
      <c r="D43" s="419"/>
      <c r="E43" s="426">
        <v>610000</v>
      </c>
      <c r="F43" s="427" t="s">
        <v>498</v>
      </c>
      <c r="G43" s="422"/>
      <c r="H43" s="422"/>
      <c r="I43" s="422"/>
      <c r="J43" s="422"/>
      <c r="K43" s="422"/>
      <c r="L43" s="422"/>
      <c r="M43" s="422"/>
      <c r="N43" s="422"/>
      <c r="O43" s="422"/>
      <c r="P43" s="1153"/>
    </row>
    <row r="44" spans="1:16" ht="48.75" customHeight="1">
      <c r="A44" s="428" t="s">
        <v>390</v>
      </c>
      <c r="B44" s="429" t="s">
        <v>390</v>
      </c>
      <c r="C44" s="430" t="s">
        <v>391</v>
      </c>
      <c r="D44" s="431">
        <v>111</v>
      </c>
      <c r="E44" s="432">
        <v>613100</v>
      </c>
      <c r="F44" s="433" t="s">
        <v>499</v>
      </c>
      <c r="G44" s="1154">
        <v>1000</v>
      </c>
      <c r="H44" s="1154"/>
      <c r="I44" s="1154"/>
      <c r="J44" s="1154">
        <f>G44+H44-I44</f>
        <v>1000</v>
      </c>
      <c r="K44" s="1154">
        <v>0</v>
      </c>
      <c r="L44" s="1154"/>
      <c r="M44" s="1154"/>
      <c r="N44" s="1154">
        <f>K44+L44-M44</f>
        <v>0</v>
      </c>
      <c r="O44" s="1154">
        <f>G44+K44</f>
        <v>1000</v>
      </c>
      <c r="P44" s="1155">
        <f>J44+N44</f>
        <v>1000</v>
      </c>
    </row>
    <row r="45" spans="1:16" ht="33.75" customHeight="1">
      <c r="A45" s="428" t="s">
        <v>390</v>
      </c>
      <c r="B45" s="429" t="s">
        <v>390</v>
      </c>
      <c r="C45" s="430" t="s">
        <v>391</v>
      </c>
      <c r="D45" s="434">
        <v>111</v>
      </c>
      <c r="E45" s="435">
        <v>613310</v>
      </c>
      <c r="F45" s="436" t="s">
        <v>298</v>
      </c>
      <c r="G45" s="1154">
        <v>4000</v>
      </c>
      <c r="H45" s="1154"/>
      <c r="I45" s="1154"/>
      <c r="J45" s="1154">
        <f aca="true" t="shared" si="0" ref="J45:J51">G45+H45-I45</f>
        <v>4000</v>
      </c>
      <c r="K45" s="1154">
        <v>0</v>
      </c>
      <c r="L45" s="1154"/>
      <c r="M45" s="1154"/>
      <c r="N45" s="1154">
        <f aca="true" t="shared" si="1" ref="N45:N51">K45+L45-M45</f>
        <v>0</v>
      </c>
      <c r="O45" s="1154">
        <f aca="true" t="shared" si="2" ref="O45:O51">G45+K45</f>
        <v>4000</v>
      </c>
      <c r="P45" s="1155">
        <f aca="true" t="shared" si="3" ref="P45:P51">J45+N45</f>
        <v>4000</v>
      </c>
    </row>
    <row r="46" spans="1:16" ht="35.25" customHeight="1">
      <c r="A46" s="428" t="s">
        <v>390</v>
      </c>
      <c r="B46" s="429" t="s">
        <v>390</v>
      </c>
      <c r="C46" s="430" t="s">
        <v>391</v>
      </c>
      <c r="D46" s="434">
        <v>111</v>
      </c>
      <c r="E46" s="435">
        <v>613400</v>
      </c>
      <c r="F46" s="436" t="s">
        <v>501</v>
      </c>
      <c r="G46" s="1154">
        <v>8000</v>
      </c>
      <c r="H46" s="1154"/>
      <c r="I46" s="1154"/>
      <c r="J46" s="1154">
        <f t="shared" si="0"/>
        <v>8000</v>
      </c>
      <c r="K46" s="1154">
        <v>0</v>
      </c>
      <c r="L46" s="1154"/>
      <c r="M46" s="1154"/>
      <c r="N46" s="1154">
        <f t="shared" si="1"/>
        <v>0</v>
      </c>
      <c r="O46" s="1154">
        <f t="shared" si="2"/>
        <v>8000</v>
      </c>
      <c r="P46" s="1155">
        <f t="shared" si="3"/>
        <v>8000</v>
      </c>
    </row>
    <row r="47" spans="1:16" ht="35.25" customHeight="1">
      <c r="A47" s="625" t="s">
        <v>390</v>
      </c>
      <c r="B47" s="595" t="s">
        <v>390</v>
      </c>
      <c r="C47" s="1336" t="s">
        <v>391</v>
      </c>
      <c r="D47" s="1337">
        <v>111</v>
      </c>
      <c r="E47" s="1317">
        <v>613910</v>
      </c>
      <c r="F47" s="1338" t="s">
        <v>502</v>
      </c>
      <c r="G47" s="1315">
        <v>19000</v>
      </c>
      <c r="H47" s="1315"/>
      <c r="I47" s="1315">
        <v>5000</v>
      </c>
      <c r="J47" s="1315">
        <f t="shared" si="0"/>
        <v>14000</v>
      </c>
      <c r="K47" s="1315">
        <v>0</v>
      </c>
      <c r="L47" s="1315"/>
      <c r="M47" s="1315"/>
      <c r="N47" s="1315">
        <f t="shared" si="1"/>
        <v>0</v>
      </c>
      <c r="O47" s="1315">
        <f t="shared" si="2"/>
        <v>19000</v>
      </c>
      <c r="P47" s="1316">
        <f t="shared" si="3"/>
        <v>14000</v>
      </c>
    </row>
    <row r="48" spans="1:16" ht="35.25" customHeight="1">
      <c r="A48" s="625" t="s">
        <v>390</v>
      </c>
      <c r="B48" s="595" t="s">
        <v>390</v>
      </c>
      <c r="C48" s="691" t="s">
        <v>391</v>
      </c>
      <c r="D48" s="868">
        <v>111</v>
      </c>
      <c r="E48" s="464" t="s">
        <v>614</v>
      </c>
      <c r="F48" s="869" t="s">
        <v>603</v>
      </c>
      <c r="G48" s="1154">
        <v>380000</v>
      </c>
      <c r="H48" s="1154"/>
      <c r="I48" s="1154"/>
      <c r="J48" s="1154">
        <f t="shared" si="0"/>
        <v>380000</v>
      </c>
      <c r="K48" s="1154">
        <v>0</v>
      </c>
      <c r="L48" s="1154"/>
      <c r="M48" s="1154"/>
      <c r="N48" s="1154">
        <f t="shared" si="1"/>
        <v>0</v>
      </c>
      <c r="O48" s="1154">
        <f t="shared" si="2"/>
        <v>380000</v>
      </c>
      <c r="P48" s="1155">
        <f t="shared" si="3"/>
        <v>380000</v>
      </c>
    </row>
    <row r="49" spans="1:16" ht="38.25" customHeight="1">
      <c r="A49" s="625" t="s">
        <v>390</v>
      </c>
      <c r="B49" s="595" t="s">
        <v>390</v>
      </c>
      <c r="C49" s="691" t="s">
        <v>391</v>
      </c>
      <c r="D49" s="868">
        <v>111</v>
      </c>
      <c r="E49" s="464" t="s">
        <v>615</v>
      </c>
      <c r="F49" s="869" t="s">
        <v>604</v>
      </c>
      <c r="G49" s="1154">
        <v>580000</v>
      </c>
      <c r="H49" s="1154"/>
      <c r="I49" s="1154"/>
      <c r="J49" s="1154">
        <f t="shared" si="0"/>
        <v>580000</v>
      </c>
      <c r="K49" s="1154">
        <v>0</v>
      </c>
      <c r="L49" s="1154"/>
      <c r="M49" s="1154"/>
      <c r="N49" s="1154">
        <f t="shared" si="1"/>
        <v>0</v>
      </c>
      <c r="O49" s="1154">
        <f t="shared" si="2"/>
        <v>580000</v>
      </c>
      <c r="P49" s="1155">
        <f t="shared" si="3"/>
        <v>580000</v>
      </c>
    </row>
    <row r="50" spans="1:16" ht="50.25" customHeight="1">
      <c r="A50" s="570" t="s">
        <v>390</v>
      </c>
      <c r="B50" s="571" t="s">
        <v>390</v>
      </c>
      <c r="C50" s="572" t="s">
        <v>391</v>
      </c>
      <c r="D50" s="931">
        <v>111</v>
      </c>
      <c r="E50" s="656">
        <v>614323</v>
      </c>
      <c r="F50" s="573" t="s">
        <v>605</v>
      </c>
      <c r="G50" s="1156">
        <v>550000</v>
      </c>
      <c r="H50" s="1156"/>
      <c r="I50" s="1156"/>
      <c r="J50" s="1156">
        <f t="shared" si="0"/>
        <v>550000</v>
      </c>
      <c r="K50" s="1156">
        <v>0</v>
      </c>
      <c r="L50" s="1156"/>
      <c r="M50" s="1156"/>
      <c r="N50" s="1156">
        <f t="shared" si="1"/>
        <v>0</v>
      </c>
      <c r="O50" s="1156">
        <f t="shared" si="2"/>
        <v>550000</v>
      </c>
      <c r="P50" s="1157">
        <f t="shared" si="3"/>
        <v>550000</v>
      </c>
    </row>
    <row r="51" spans="1:16" ht="37.5" customHeight="1">
      <c r="A51" s="625" t="s">
        <v>390</v>
      </c>
      <c r="B51" s="595" t="s">
        <v>390</v>
      </c>
      <c r="C51" s="691" t="s">
        <v>391</v>
      </c>
      <c r="D51" s="868">
        <v>111</v>
      </c>
      <c r="E51" s="464" t="s">
        <v>631</v>
      </c>
      <c r="F51" s="598" t="s">
        <v>307</v>
      </c>
      <c r="G51" s="1154">
        <v>50000</v>
      </c>
      <c r="H51" s="1154"/>
      <c r="I51" s="1154"/>
      <c r="J51" s="1154">
        <f t="shared" si="0"/>
        <v>50000</v>
      </c>
      <c r="K51" s="1154">
        <v>0</v>
      </c>
      <c r="L51" s="1154"/>
      <c r="M51" s="1154"/>
      <c r="N51" s="1154">
        <f t="shared" si="1"/>
        <v>0</v>
      </c>
      <c r="O51" s="1154">
        <f t="shared" si="2"/>
        <v>50000</v>
      </c>
      <c r="P51" s="1155">
        <f t="shared" si="3"/>
        <v>50000</v>
      </c>
    </row>
    <row r="52" spans="1:16" ht="42" customHeight="1">
      <c r="A52" s="444"/>
      <c r="B52" s="445"/>
      <c r="C52" s="446"/>
      <c r="D52" s="447"/>
      <c r="E52" s="448">
        <v>820000</v>
      </c>
      <c r="F52" s="449" t="s">
        <v>503</v>
      </c>
      <c r="G52" s="1158"/>
      <c r="H52" s="1158"/>
      <c r="I52" s="1158"/>
      <c r="J52" s="1158"/>
      <c r="K52" s="1158"/>
      <c r="L52" s="1158"/>
      <c r="M52" s="1158"/>
      <c r="N52" s="1158"/>
      <c r="O52" s="1158"/>
      <c r="P52" s="1159"/>
    </row>
    <row r="53" spans="1:16" ht="39" customHeight="1">
      <c r="A53" s="1311" t="s">
        <v>390</v>
      </c>
      <c r="B53" s="1312" t="s">
        <v>390</v>
      </c>
      <c r="C53" s="1336" t="s">
        <v>391</v>
      </c>
      <c r="D53" s="1339">
        <v>111</v>
      </c>
      <c r="E53" s="1313">
        <v>821300</v>
      </c>
      <c r="F53" s="1340" t="s">
        <v>504</v>
      </c>
      <c r="G53" s="1315">
        <v>3000</v>
      </c>
      <c r="H53" s="1315"/>
      <c r="I53" s="1315">
        <v>3000</v>
      </c>
      <c r="J53" s="1315">
        <f>G53+H53-I53</f>
        <v>0</v>
      </c>
      <c r="K53" s="1315">
        <v>0</v>
      </c>
      <c r="L53" s="1315"/>
      <c r="M53" s="1315"/>
      <c r="N53" s="1315">
        <f>K53+L53-M53</f>
        <v>0</v>
      </c>
      <c r="O53" s="1315">
        <f>G53+K53</f>
        <v>3000</v>
      </c>
      <c r="P53" s="1316">
        <f>J53+N53</f>
        <v>0</v>
      </c>
    </row>
    <row r="54" spans="1:16" ht="43.5" customHeight="1" thickBot="1">
      <c r="A54" s="451"/>
      <c r="B54" s="452"/>
      <c r="C54" s="452"/>
      <c r="D54" s="453"/>
      <c r="E54" s="453"/>
      <c r="F54" s="454" t="s">
        <v>442</v>
      </c>
      <c r="G54" s="1160">
        <f aca="true" t="shared" si="4" ref="G54:P54">SUM(G44:G53)</f>
        <v>1595000</v>
      </c>
      <c r="H54" s="1160">
        <f t="shared" si="4"/>
        <v>0</v>
      </c>
      <c r="I54" s="1160">
        <f t="shared" si="4"/>
        <v>8000</v>
      </c>
      <c r="J54" s="1160">
        <f t="shared" si="4"/>
        <v>1587000</v>
      </c>
      <c r="K54" s="1160">
        <f t="shared" si="4"/>
        <v>0</v>
      </c>
      <c r="L54" s="1160">
        <f t="shared" si="4"/>
        <v>0</v>
      </c>
      <c r="M54" s="1160">
        <f t="shared" si="4"/>
        <v>0</v>
      </c>
      <c r="N54" s="1160">
        <f t="shared" si="4"/>
        <v>0</v>
      </c>
      <c r="O54" s="1161">
        <f t="shared" si="4"/>
        <v>1595000</v>
      </c>
      <c r="P54" s="1162">
        <f t="shared" si="4"/>
        <v>1587000</v>
      </c>
    </row>
    <row r="55" spans="1:16" ht="20.25">
      <c r="A55" s="455"/>
      <c r="B55" s="455"/>
      <c r="C55" s="455"/>
      <c r="D55" s="456"/>
      <c r="E55" s="456"/>
      <c r="F55" s="455"/>
      <c r="G55" s="458"/>
      <c r="H55" s="458"/>
      <c r="I55" s="458"/>
      <c r="J55" s="458"/>
      <c r="K55" s="458"/>
      <c r="L55" s="458"/>
      <c r="M55" s="458"/>
      <c r="N55" s="458"/>
      <c r="O55" s="458"/>
      <c r="P55" s="458"/>
    </row>
    <row r="56" spans="1:16" ht="21" thickBot="1">
      <c r="A56" s="455"/>
      <c r="B56" s="455"/>
      <c r="C56" s="455"/>
      <c r="D56" s="457"/>
      <c r="E56" s="457"/>
      <c r="F56" s="455"/>
      <c r="G56" s="458"/>
      <c r="H56" s="458"/>
      <c r="I56" s="458"/>
      <c r="J56" s="458"/>
      <c r="K56" s="458"/>
      <c r="L56" s="458"/>
      <c r="M56" s="458"/>
      <c r="N56" s="458"/>
      <c r="O56" s="458"/>
      <c r="P56" s="458"/>
    </row>
    <row r="57" spans="1:16" ht="279" customHeight="1">
      <c r="A57" s="401" t="s">
        <v>494</v>
      </c>
      <c r="B57" s="402" t="s">
        <v>495</v>
      </c>
      <c r="C57" s="403" t="s">
        <v>687</v>
      </c>
      <c r="D57" s="404" t="s">
        <v>497</v>
      </c>
      <c r="E57" s="404" t="s">
        <v>188</v>
      </c>
      <c r="F57" s="405" t="s">
        <v>496</v>
      </c>
      <c r="G57" s="813" t="s">
        <v>1322</v>
      </c>
      <c r="H57" s="813" t="s">
        <v>1324</v>
      </c>
      <c r="I57" s="813" t="s">
        <v>1325</v>
      </c>
      <c r="J57" s="813" t="s">
        <v>1326</v>
      </c>
      <c r="K57" s="813" t="s">
        <v>1323</v>
      </c>
      <c r="L57" s="813" t="s">
        <v>1327</v>
      </c>
      <c r="M57" s="813" t="s">
        <v>1328</v>
      </c>
      <c r="N57" s="813" t="s">
        <v>1329</v>
      </c>
      <c r="O57" s="1278" t="s">
        <v>1321</v>
      </c>
      <c r="P57" s="1149" t="s">
        <v>1330</v>
      </c>
    </row>
    <row r="58" spans="1:16" ht="20.25">
      <c r="A58" s="1533">
        <v>0</v>
      </c>
      <c r="B58" s="1534"/>
      <c r="C58" s="1534"/>
      <c r="D58" s="409">
        <v>1</v>
      </c>
      <c r="E58" s="409">
        <v>2</v>
      </c>
      <c r="F58" s="410">
        <v>3</v>
      </c>
      <c r="G58" s="1150">
        <v>4</v>
      </c>
      <c r="H58" s="1150">
        <v>5</v>
      </c>
      <c r="I58" s="1150">
        <v>6</v>
      </c>
      <c r="J58" s="1150">
        <v>7</v>
      </c>
      <c r="K58" s="1150">
        <v>8</v>
      </c>
      <c r="L58" s="1150">
        <v>9</v>
      </c>
      <c r="M58" s="1150">
        <v>10</v>
      </c>
      <c r="N58" s="1150">
        <v>11</v>
      </c>
      <c r="O58" s="1150">
        <v>12</v>
      </c>
      <c r="P58" s="1151">
        <v>13</v>
      </c>
    </row>
    <row r="59" spans="1:16" ht="44.25" customHeight="1">
      <c r="A59" s="459" t="s">
        <v>390</v>
      </c>
      <c r="B59" s="412"/>
      <c r="C59" s="412"/>
      <c r="D59" s="413"/>
      <c r="E59" s="413"/>
      <c r="F59" s="414" t="s">
        <v>443</v>
      </c>
      <c r="G59" s="415"/>
      <c r="H59" s="415"/>
      <c r="I59" s="415"/>
      <c r="J59" s="415"/>
      <c r="K59" s="415"/>
      <c r="L59" s="415"/>
      <c r="M59" s="415"/>
      <c r="N59" s="415"/>
      <c r="O59" s="415"/>
      <c r="P59" s="1152"/>
    </row>
    <row r="60" spans="1:16" ht="55.5" customHeight="1">
      <c r="A60" s="424" t="s">
        <v>390</v>
      </c>
      <c r="B60" s="425" t="s">
        <v>392</v>
      </c>
      <c r="C60" s="425"/>
      <c r="D60" s="420"/>
      <c r="E60" s="420"/>
      <c r="F60" s="460" t="s">
        <v>783</v>
      </c>
      <c r="G60" s="422"/>
      <c r="H60" s="422"/>
      <c r="I60" s="422"/>
      <c r="J60" s="422"/>
      <c r="K60" s="422"/>
      <c r="L60" s="422"/>
      <c r="M60" s="422"/>
      <c r="N60" s="422"/>
      <c r="O60" s="422"/>
      <c r="P60" s="1153"/>
    </row>
    <row r="61" spans="1:16" ht="51" customHeight="1">
      <c r="A61" s="424"/>
      <c r="B61" s="425"/>
      <c r="C61" s="425"/>
      <c r="D61" s="420"/>
      <c r="E61" s="426">
        <v>610000</v>
      </c>
      <c r="F61" s="427" t="s">
        <v>506</v>
      </c>
      <c r="G61" s="422"/>
      <c r="H61" s="422"/>
      <c r="I61" s="422"/>
      <c r="J61" s="422"/>
      <c r="K61" s="422"/>
      <c r="L61" s="422"/>
      <c r="M61" s="422"/>
      <c r="N61" s="422"/>
      <c r="O61" s="422"/>
      <c r="P61" s="1153"/>
    </row>
    <row r="62" spans="1:16" ht="39.75" customHeight="1">
      <c r="A62" s="428" t="s">
        <v>390</v>
      </c>
      <c r="B62" s="429" t="s">
        <v>392</v>
      </c>
      <c r="C62" s="430" t="s">
        <v>391</v>
      </c>
      <c r="D62" s="461">
        <v>111</v>
      </c>
      <c r="E62" s="432">
        <v>613100</v>
      </c>
      <c r="F62" s="462" t="s">
        <v>508</v>
      </c>
      <c r="G62" s="1154">
        <v>1000</v>
      </c>
      <c r="H62" s="1154"/>
      <c r="I62" s="1154"/>
      <c r="J62" s="1154">
        <f aca="true" t="shared" si="5" ref="J62:J71">G62+H62-I62</f>
        <v>1000</v>
      </c>
      <c r="K62" s="1154">
        <v>0</v>
      </c>
      <c r="L62" s="1154"/>
      <c r="M62" s="1154"/>
      <c r="N62" s="1154">
        <f aca="true" t="shared" si="6" ref="N62:N71">K62+L62-M62</f>
        <v>0</v>
      </c>
      <c r="O62" s="1154">
        <f aca="true" t="shared" si="7" ref="O62:O71">G62+K62</f>
        <v>1000</v>
      </c>
      <c r="P62" s="1155">
        <f aca="true" t="shared" si="8" ref="P62:P71">J62+N62</f>
        <v>1000</v>
      </c>
    </row>
    <row r="63" spans="1:16" ht="35.25" customHeight="1">
      <c r="A63" s="428" t="s">
        <v>390</v>
      </c>
      <c r="B63" s="429" t="s">
        <v>392</v>
      </c>
      <c r="C63" s="430" t="s">
        <v>391</v>
      </c>
      <c r="D63" s="461">
        <v>111</v>
      </c>
      <c r="E63" s="432">
        <v>613310</v>
      </c>
      <c r="F63" s="436" t="s">
        <v>616</v>
      </c>
      <c r="G63" s="1154">
        <v>2000</v>
      </c>
      <c r="H63" s="1154"/>
      <c r="I63" s="1154"/>
      <c r="J63" s="1154">
        <f t="shared" si="5"/>
        <v>2000</v>
      </c>
      <c r="K63" s="1154">
        <v>0</v>
      </c>
      <c r="L63" s="1154"/>
      <c r="M63" s="1154"/>
      <c r="N63" s="1154">
        <f t="shared" si="6"/>
        <v>0</v>
      </c>
      <c r="O63" s="1154">
        <f t="shared" si="7"/>
        <v>2000</v>
      </c>
      <c r="P63" s="1155">
        <f t="shared" si="8"/>
        <v>2000</v>
      </c>
    </row>
    <row r="64" spans="1:16" ht="38.25" customHeight="1">
      <c r="A64" s="428" t="s">
        <v>390</v>
      </c>
      <c r="B64" s="429" t="s">
        <v>392</v>
      </c>
      <c r="C64" s="430" t="s">
        <v>391</v>
      </c>
      <c r="D64" s="463">
        <v>111</v>
      </c>
      <c r="E64" s="435">
        <v>613400</v>
      </c>
      <c r="F64" s="436" t="s">
        <v>509</v>
      </c>
      <c r="G64" s="1154">
        <v>2000</v>
      </c>
      <c r="H64" s="1154"/>
      <c r="I64" s="1154"/>
      <c r="J64" s="1154">
        <f t="shared" si="5"/>
        <v>2000</v>
      </c>
      <c r="K64" s="1154">
        <v>0</v>
      </c>
      <c r="L64" s="1154"/>
      <c r="M64" s="1154"/>
      <c r="N64" s="1154">
        <f t="shared" si="6"/>
        <v>0</v>
      </c>
      <c r="O64" s="1154">
        <f t="shared" si="7"/>
        <v>2000</v>
      </c>
      <c r="P64" s="1155">
        <f t="shared" si="8"/>
        <v>2000</v>
      </c>
    </row>
    <row r="65" spans="1:16" ht="33.75" customHeight="1">
      <c r="A65" s="428" t="s">
        <v>390</v>
      </c>
      <c r="B65" s="429" t="s">
        <v>392</v>
      </c>
      <c r="C65" s="430" t="s">
        <v>391</v>
      </c>
      <c r="D65" s="463">
        <v>111</v>
      </c>
      <c r="E65" s="464">
        <v>613500</v>
      </c>
      <c r="F65" s="465" t="s">
        <v>661</v>
      </c>
      <c r="G65" s="1154">
        <v>2500</v>
      </c>
      <c r="H65" s="1154"/>
      <c r="I65" s="1154"/>
      <c r="J65" s="1154">
        <f t="shared" si="5"/>
        <v>2500</v>
      </c>
      <c r="K65" s="1154">
        <v>0</v>
      </c>
      <c r="L65" s="1154"/>
      <c r="M65" s="1154"/>
      <c r="N65" s="1154">
        <f t="shared" si="6"/>
        <v>0</v>
      </c>
      <c r="O65" s="1154">
        <f t="shared" si="7"/>
        <v>2500</v>
      </c>
      <c r="P65" s="1155">
        <f t="shared" si="8"/>
        <v>2500</v>
      </c>
    </row>
    <row r="66" spans="1:16" ht="35.25" customHeight="1">
      <c r="A66" s="428" t="s">
        <v>390</v>
      </c>
      <c r="B66" s="429" t="s">
        <v>392</v>
      </c>
      <c r="C66" s="430" t="s">
        <v>391</v>
      </c>
      <c r="D66" s="463">
        <v>111</v>
      </c>
      <c r="E66" s="435">
        <v>613600</v>
      </c>
      <c r="F66" s="436" t="s">
        <v>510</v>
      </c>
      <c r="G66" s="1154">
        <v>5000</v>
      </c>
      <c r="H66" s="1154"/>
      <c r="I66" s="1154"/>
      <c r="J66" s="1154">
        <f t="shared" si="5"/>
        <v>5000</v>
      </c>
      <c r="K66" s="1154">
        <v>0</v>
      </c>
      <c r="L66" s="1154"/>
      <c r="M66" s="1154"/>
      <c r="N66" s="1154">
        <f t="shared" si="6"/>
        <v>0</v>
      </c>
      <c r="O66" s="1154">
        <f t="shared" si="7"/>
        <v>5000</v>
      </c>
      <c r="P66" s="1155">
        <f t="shared" si="8"/>
        <v>5000</v>
      </c>
    </row>
    <row r="67" spans="1:16" ht="35.25" customHeight="1">
      <c r="A67" s="428" t="s">
        <v>390</v>
      </c>
      <c r="B67" s="429" t="s">
        <v>392</v>
      </c>
      <c r="C67" s="430" t="s">
        <v>391</v>
      </c>
      <c r="D67" s="463">
        <v>111</v>
      </c>
      <c r="E67" s="435">
        <v>613720</v>
      </c>
      <c r="F67" s="436" t="s">
        <v>511</v>
      </c>
      <c r="G67" s="1154">
        <v>300</v>
      </c>
      <c r="H67" s="1154"/>
      <c r="I67" s="1154"/>
      <c r="J67" s="1154">
        <f t="shared" si="5"/>
        <v>300</v>
      </c>
      <c r="K67" s="1154">
        <v>0</v>
      </c>
      <c r="L67" s="1154"/>
      <c r="M67" s="1154"/>
      <c r="N67" s="1154">
        <f t="shared" si="6"/>
        <v>0</v>
      </c>
      <c r="O67" s="1154">
        <f t="shared" si="7"/>
        <v>300</v>
      </c>
      <c r="P67" s="1155">
        <f t="shared" si="8"/>
        <v>300</v>
      </c>
    </row>
    <row r="68" spans="1:16" ht="40.5" customHeight="1">
      <c r="A68" s="428" t="s">
        <v>390</v>
      </c>
      <c r="B68" s="429" t="s">
        <v>392</v>
      </c>
      <c r="C68" s="430" t="s">
        <v>391</v>
      </c>
      <c r="D68" s="463">
        <v>111</v>
      </c>
      <c r="E68" s="435">
        <v>613910</v>
      </c>
      <c r="F68" s="436" t="s">
        <v>512</v>
      </c>
      <c r="G68" s="1154">
        <v>2000</v>
      </c>
      <c r="H68" s="1154"/>
      <c r="I68" s="1154"/>
      <c r="J68" s="1154">
        <f t="shared" si="5"/>
        <v>2000</v>
      </c>
      <c r="K68" s="1154">
        <v>0</v>
      </c>
      <c r="L68" s="1154"/>
      <c r="M68" s="1154"/>
      <c r="N68" s="1154">
        <f t="shared" si="6"/>
        <v>0</v>
      </c>
      <c r="O68" s="1154">
        <f t="shared" si="7"/>
        <v>2000</v>
      </c>
      <c r="P68" s="1155">
        <f t="shared" si="8"/>
        <v>2000</v>
      </c>
    </row>
    <row r="69" spans="1:16" ht="40.5" customHeight="1">
      <c r="A69" s="437" t="s">
        <v>390</v>
      </c>
      <c r="B69" s="438" t="s">
        <v>392</v>
      </c>
      <c r="C69" s="439" t="s">
        <v>391</v>
      </c>
      <c r="D69" s="466">
        <v>111</v>
      </c>
      <c r="E69" s="440" t="s">
        <v>618</v>
      </c>
      <c r="F69" s="467" t="s">
        <v>444</v>
      </c>
      <c r="G69" s="1154">
        <v>34000</v>
      </c>
      <c r="H69" s="1154"/>
      <c r="I69" s="1154"/>
      <c r="J69" s="1154">
        <f t="shared" si="5"/>
        <v>34000</v>
      </c>
      <c r="K69" s="1154">
        <v>0</v>
      </c>
      <c r="L69" s="1154"/>
      <c r="M69" s="1154"/>
      <c r="N69" s="1154">
        <f t="shared" si="6"/>
        <v>0</v>
      </c>
      <c r="O69" s="1154">
        <f t="shared" si="7"/>
        <v>34000</v>
      </c>
      <c r="P69" s="1155">
        <f t="shared" si="8"/>
        <v>34000</v>
      </c>
    </row>
    <row r="70" spans="1:16" ht="40.5" customHeight="1">
      <c r="A70" s="1297" t="s">
        <v>390</v>
      </c>
      <c r="B70" s="1298" t="s">
        <v>392</v>
      </c>
      <c r="C70" s="1299" t="s">
        <v>391</v>
      </c>
      <c r="D70" s="1309">
        <v>111</v>
      </c>
      <c r="E70" s="1310" t="s">
        <v>487</v>
      </c>
      <c r="F70" s="1454" t="s">
        <v>619</v>
      </c>
      <c r="G70" s="1315">
        <v>86300</v>
      </c>
      <c r="H70" s="1315">
        <v>40000</v>
      </c>
      <c r="I70" s="1315"/>
      <c r="J70" s="1315">
        <f t="shared" si="5"/>
        <v>126300</v>
      </c>
      <c r="K70" s="1315"/>
      <c r="L70" s="1315"/>
      <c r="M70" s="1315"/>
      <c r="N70" s="1315">
        <f t="shared" si="6"/>
        <v>0</v>
      </c>
      <c r="O70" s="1315">
        <f t="shared" si="7"/>
        <v>86300</v>
      </c>
      <c r="P70" s="1316">
        <f t="shared" si="8"/>
        <v>126300</v>
      </c>
    </row>
    <row r="71" spans="1:16" ht="40.5" customHeight="1">
      <c r="A71" s="437" t="s">
        <v>390</v>
      </c>
      <c r="B71" s="438" t="s">
        <v>392</v>
      </c>
      <c r="C71" s="439" t="s">
        <v>391</v>
      </c>
      <c r="D71" s="466">
        <v>111</v>
      </c>
      <c r="E71" s="435" t="s">
        <v>621</v>
      </c>
      <c r="F71" s="468" t="s">
        <v>517</v>
      </c>
      <c r="G71" s="1154">
        <v>30000</v>
      </c>
      <c r="H71" s="1154"/>
      <c r="I71" s="1154"/>
      <c r="J71" s="1154">
        <f t="shared" si="5"/>
        <v>30000</v>
      </c>
      <c r="K71" s="1154">
        <v>0</v>
      </c>
      <c r="L71" s="1154"/>
      <c r="M71" s="1154"/>
      <c r="N71" s="1154">
        <f t="shared" si="6"/>
        <v>0</v>
      </c>
      <c r="O71" s="1154">
        <f t="shared" si="7"/>
        <v>30000</v>
      </c>
      <c r="P71" s="1155">
        <f t="shared" si="8"/>
        <v>30000</v>
      </c>
    </row>
    <row r="72" spans="1:16" ht="45" customHeight="1">
      <c r="A72" s="469"/>
      <c r="B72" s="470"/>
      <c r="C72" s="471"/>
      <c r="D72" s="472"/>
      <c r="E72" s="472"/>
      <c r="F72" s="473" t="s">
        <v>445</v>
      </c>
      <c r="G72" s="1163">
        <f aca="true" t="shared" si="9" ref="G72:P72">SUM(G62:G71)</f>
        <v>165100</v>
      </c>
      <c r="H72" s="1163">
        <f t="shared" si="9"/>
        <v>40000</v>
      </c>
      <c r="I72" s="1163">
        <f t="shared" si="9"/>
        <v>0</v>
      </c>
      <c r="J72" s="1163">
        <f t="shared" si="9"/>
        <v>205100</v>
      </c>
      <c r="K72" s="1163">
        <f t="shared" si="9"/>
        <v>0</v>
      </c>
      <c r="L72" s="1163">
        <f t="shared" si="9"/>
        <v>0</v>
      </c>
      <c r="M72" s="1163">
        <f t="shared" si="9"/>
        <v>0</v>
      </c>
      <c r="N72" s="1163">
        <f t="shared" si="9"/>
        <v>0</v>
      </c>
      <c r="O72" s="1164">
        <f t="shared" si="9"/>
        <v>165100</v>
      </c>
      <c r="P72" s="1165">
        <f t="shared" si="9"/>
        <v>205100</v>
      </c>
    </row>
    <row r="73" spans="1:16" ht="43.5" customHeight="1" thickBot="1">
      <c r="A73" s="474"/>
      <c r="B73" s="475"/>
      <c r="C73" s="476"/>
      <c r="D73" s="477"/>
      <c r="E73" s="477"/>
      <c r="F73" s="478" t="s">
        <v>446</v>
      </c>
      <c r="G73" s="1166">
        <f aca="true" t="shared" si="10" ref="G73:P73">SUM(G54,G72)</f>
        <v>1760100</v>
      </c>
      <c r="H73" s="1166">
        <f t="shared" si="10"/>
        <v>40000</v>
      </c>
      <c r="I73" s="1166">
        <f t="shared" si="10"/>
        <v>8000</v>
      </c>
      <c r="J73" s="1166">
        <f t="shared" si="10"/>
        <v>1792100</v>
      </c>
      <c r="K73" s="1166">
        <f t="shared" si="10"/>
        <v>0</v>
      </c>
      <c r="L73" s="1166">
        <f t="shared" si="10"/>
        <v>0</v>
      </c>
      <c r="M73" s="1166">
        <f t="shared" si="10"/>
        <v>0</v>
      </c>
      <c r="N73" s="1166">
        <f t="shared" si="10"/>
        <v>0</v>
      </c>
      <c r="O73" s="1167">
        <f t="shared" si="10"/>
        <v>1760100</v>
      </c>
      <c r="P73" s="1168">
        <f t="shared" si="10"/>
        <v>1792100</v>
      </c>
    </row>
    <row r="74" spans="1:16" ht="43.5" customHeight="1" thickBot="1">
      <c r="A74" s="479"/>
      <c r="B74" s="479"/>
      <c r="C74" s="479"/>
      <c r="D74" s="480"/>
      <c r="E74" s="480"/>
      <c r="F74" s="481"/>
      <c r="G74" s="482"/>
      <c r="H74" s="482"/>
      <c r="I74" s="482"/>
      <c r="J74" s="482"/>
      <c r="K74" s="482"/>
      <c r="L74" s="482"/>
      <c r="M74" s="482"/>
      <c r="N74" s="482"/>
      <c r="O74" s="482"/>
      <c r="P74" s="482"/>
    </row>
    <row r="75" spans="1:16" ht="279" customHeight="1">
      <c r="A75" s="401" t="s">
        <v>494</v>
      </c>
      <c r="B75" s="402" t="s">
        <v>495</v>
      </c>
      <c r="C75" s="403" t="s">
        <v>687</v>
      </c>
      <c r="D75" s="404" t="s">
        <v>497</v>
      </c>
      <c r="E75" s="404" t="s">
        <v>188</v>
      </c>
      <c r="F75" s="405" t="s">
        <v>496</v>
      </c>
      <c r="G75" s="813" t="s">
        <v>1322</v>
      </c>
      <c r="H75" s="813" t="s">
        <v>1324</v>
      </c>
      <c r="I75" s="813" t="s">
        <v>1325</v>
      </c>
      <c r="J75" s="813" t="s">
        <v>1326</v>
      </c>
      <c r="K75" s="813" t="s">
        <v>1323</v>
      </c>
      <c r="L75" s="813" t="s">
        <v>1327</v>
      </c>
      <c r="M75" s="813" t="s">
        <v>1328</v>
      </c>
      <c r="N75" s="813" t="s">
        <v>1329</v>
      </c>
      <c r="O75" s="1278" t="s">
        <v>1321</v>
      </c>
      <c r="P75" s="1149" t="s">
        <v>1330</v>
      </c>
    </row>
    <row r="76" spans="1:16" ht="28.5" customHeight="1">
      <c r="A76" s="1533">
        <v>0</v>
      </c>
      <c r="B76" s="1534"/>
      <c r="C76" s="1534"/>
      <c r="D76" s="409">
        <v>1</v>
      </c>
      <c r="E76" s="409">
        <v>2</v>
      </c>
      <c r="F76" s="410">
        <v>3</v>
      </c>
      <c r="G76" s="1150">
        <v>4</v>
      </c>
      <c r="H76" s="1150">
        <v>5</v>
      </c>
      <c r="I76" s="1150">
        <v>6</v>
      </c>
      <c r="J76" s="1150">
        <v>7</v>
      </c>
      <c r="K76" s="1150">
        <v>8</v>
      </c>
      <c r="L76" s="1150">
        <v>9</v>
      </c>
      <c r="M76" s="1150">
        <v>10</v>
      </c>
      <c r="N76" s="1150">
        <v>11</v>
      </c>
      <c r="O76" s="1150">
        <v>12</v>
      </c>
      <c r="P76" s="1151">
        <v>13</v>
      </c>
    </row>
    <row r="77" spans="1:16" ht="54" customHeight="1">
      <c r="A77" s="483" t="s">
        <v>392</v>
      </c>
      <c r="B77" s="484"/>
      <c r="C77" s="485"/>
      <c r="D77" s="486"/>
      <c r="E77" s="486"/>
      <c r="F77" s="487" t="s">
        <v>726</v>
      </c>
      <c r="G77" s="1169"/>
      <c r="H77" s="1169"/>
      <c r="I77" s="1169"/>
      <c r="J77" s="1169"/>
      <c r="K77" s="1169"/>
      <c r="L77" s="1169"/>
      <c r="M77" s="1169"/>
      <c r="N77" s="1169"/>
      <c r="O77" s="1169"/>
      <c r="P77" s="1170"/>
    </row>
    <row r="78" spans="1:16" ht="65.25" customHeight="1">
      <c r="A78" s="488" t="s">
        <v>392</v>
      </c>
      <c r="B78" s="489" t="s">
        <v>390</v>
      </c>
      <c r="C78" s="490"/>
      <c r="D78" s="491"/>
      <c r="E78" s="491"/>
      <c r="F78" s="492" t="s">
        <v>727</v>
      </c>
      <c r="G78" s="1171"/>
      <c r="H78" s="1171"/>
      <c r="I78" s="1171"/>
      <c r="J78" s="1171"/>
      <c r="K78" s="1171"/>
      <c r="L78" s="1171"/>
      <c r="M78" s="1171"/>
      <c r="N78" s="1171"/>
      <c r="O78" s="1171"/>
      <c r="P78" s="1172"/>
    </row>
    <row r="79" spans="1:16" ht="43.5" customHeight="1">
      <c r="A79" s="493"/>
      <c r="B79" s="490"/>
      <c r="C79" s="490"/>
      <c r="D79" s="494"/>
      <c r="E79" s="426">
        <v>610000</v>
      </c>
      <c r="F79" s="495" t="s">
        <v>513</v>
      </c>
      <c r="G79" s="1171"/>
      <c r="H79" s="1171"/>
      <c r="I79" s="1171"/>
      <c r="J79" s="1171"/>
      <c r="K79" s="1171"/>
      <c r="L79" s="1171"/>
      <c r="M79" s="1171"/>
      <c r="N79" s="1171"/>
      <c r="O79" s="1171"/>
      <c r="P79" s="1172"/>
    </row>
    <row r="80" spans="1:16" ht="43.5" customHeight="1">
      <c r="A80" s="625" t="s">
        <v>392</v>
      </c>
      <c r="B80" s="595" t="s">
        <v>390</v>
      </c>
      <c r="C80" s="691" t="s">
        <v>391</v>
      </c>
      <c r="D80" s="870">
        <v>111</v>
      </c>
      <c r="E80" s="596">
        <v>611100</v>
      </c>
      <c r="F80" s="626" t="s">
        <v>962</v>
      </c>
      <c r="G80" s="1154">
        <v>591500</v>
      </c>
      <c r="H80" s="1154"/>
      <c r="I80" s="1154"/>
      <c r="J80" s="1154">
        <f aca="true" t="shared" si="11" ref="J80:J97">G80+H80-I80</f>
        <v>591500</v>
      </c>
      <c r="K80" s="1154">
        <v>0</v>
      </c>
      <c r="L80" s="1154"/>
      <c r="M80" s="1154"/>
      <c r="N80" s="1154">
        <f aca="true" t="shared" si="12" ref="N80:N97">K80+L80-M80</f>
        <v>0</v>
      </c>
      <c r="O80" s="1154">
        <f aca="true" t="shared" si="13" ref="O80:O97">G80+K80</f>
        <v>591500</v>
      </c>
      <c r="P80" s="1155">
        <f aca="true" t="shared" si="14" ref="P80:P97">J80+N80</f>
        <v>591500</v>
      </c>
    </row>
    <row r="81" spans="1:16" ht="36" customHeight="1">
      <c r="A81" s="625" t="s">
        <v>392</v>
      </c>
      <c r="B81" s="595" t="s">
        <v>390</v>
      </c>
      <c r="C81" s="691" t="s">
        <v>391</v>
      </c>
      <c r="D81" s="847">
        <v>111</v>
      </c>
      <c r="E81" s="464">
        <v>611200</v>
      </c>
      <c r="F81" s="943" t="s">
        <v>514</v>
      </c>
      <c r="G81" s="1154">
        <v>92400</v>
      </c>
      <c r="H81" s="1154"/>
      <c r="I81" s="1154"/>
      <c r="J81" s="1154">
        <f t="shared" si="11"/>
        <v>92400</v>
      </c>
      <c r="K81" s="1154">
        <v>0</v>
      </c>
      <c r="L81" s="1154"/>
      <c r="M81" s="1154"/>
      <c r="N81" s="1154">
        <f t="shared" si="12"/>
        <v>0</v>
      </c>
      <c r="O81" s="1154">
        <f t="shared" si="13"/>
        <v>92400</v>
      </c>
      <c r="P81" s="1155">
        <f t="shared" si="14"/>
        <v>92400</v>
      </c>
    </row>
    <row r="82" spans="1:16" ht="40.5" customHeight="1">
      <c r="A82" s="625" t="s">
        <v>392</v>
      </c>
      <c r="B82" s="595" t="s">
        <v>390</v>
      </c>
      <c r="C82" s="691" t="s">
        <v>391</v>
      </c>
      <c r="D82" s="847">
        <v>111</v>
      </c>
      <c r="E82" s="464">
        <v>612000</v>
      </c>
      <c r="F82" s="943" t="s">
        <v>889</v>
      </c>
      <c r="G82" s="1154">
        <v>66000</v>
      </c>
      <c r="H82" s="1154"/>
      <c r="I82" s="1154"/>
      <c r="J82" s="1154">
        <f t="shared" si="11"/>
        <v>66000</v>
      </c>
      <c r="K82" s="1154">
        <v>0</v>
      </c>
      <c r="L82" s="1154"/>
      <c r="M82" s="1154"/>
      <c r="N82" s="1154">
        <f t="shared" si="12"/>
        <v>0</v>
      </c>
      <c r="O82" s="1154">
        <f t="shared" si="13"/>
        <v>66000</v>
      </c>
      <c r="P82" s="1155">
        <f t="shared" si="14"/>
        <v>66000</v>
      </c>
    </row>
    <row r="83" spans="1:16" ht="37.5" customHeight="1">
      <c r="A83" s="625" t="s">
        <v>392</v>
      </c>
      <c r="B83" s="595" t="s">
        <v>390</v>
      </c>
      <c r="C83" s="691" t="s">
        <v>391</v>
      </c>
      <c r="D83" s="847">
        <v>111</v>
      </c>
      <c r="E83" s="464">
        <v>613100</v>
      </c>
      <c r="F83" s="943" t="s">
        <v>515</v>
      </c>
      <c r="G83" s="1154">
        <v>15000</v>
      </c>
      <c r="H83" s="1154"/>
      <c r="I83" s="1154"/>
      <c r="J83" s="1154">
        <f t="shared" si="11"/>
        <v>15000</v>
      </c>
      <c r="K83" s="1154">
        <v>0</v>
      </c>
      <c r="L83" s="1154"/>
      <c r="M83" s="1154"/>
      <c r="N83" s="1154">
        <f t="shared" si="12"/>
        <v>0</v>
      </c>
      <c r="O83" s="1154">
        <f t="shared" si="13"/>
        <v>15000</v>
      </c>
      <c r="P83" s="1155">
        <f t="shared" si="14"/>
        <v>15000</v>
      </c>
    </row>
    <row r="84" spans="1:16" ht="37.5" customHeight="1">
      <c r="A84" s="625" t="s">
        <v>392</v>
      </c>
      <c r="B84" s="595" t="s">
        <v>390</v>
      </c>
      <c r="C84" s="691" t="s">
        <v>391</v>
      </c>
      <c r="D84" s="847">
        <v>111</v>
      </c>
      <c r="E84" s="596">
        <v>613310</v>
      </c>
      <c r="F84" s="465" t="s">
        <v>616</v>
      </c>
      <c r="G84" s="1154">
        <v>18000</v>
      </c>
      <c r="H84" s="1154"/>
      <c r="I84" s="1154"/>
      <c r="J84" s="1154">
        <f t="shared" si="11"/>
        <v>18000</v>
      </c>
      <c r="K84" s="1154">
        <v>0</v>
      </c>
      <c r="L84" s="1154"/>
      <c r="M84" s="1154"/>
      <c r="N84" s="1154">
        <f t="shared" si="12"/>
        <v>0</v>
      </c>
      <c r="O84" s="1154">
        <f t="shared" si="13"/>
        <v>18000</v>
      </c>
      <c r="P84" s="1155">
        <f t="shared" si="14"/>
        <v>18000</v>
      </c>
    </row>
    <row r="85" spans="1:16" ht="40.5" customHeight="1">
      <c r="A85" s="625" t="s">
        <v>392</v>
      </c>
      <c r="B85" s="595" t="s">
        <v>390</v>
      </c>
      <c r="C85" s="691" t="s">
        <v>391</v>
      </c>
      <c r="D85" s="847">
        <v>111</v>
      </c>
      <c r="E85" s="464">
        <v>613400</v>
      </c>
      <c r="F85" s="943" t="s">
        <v>501</v>
      </c>
      <c r="G85" s="1154">
        <v>5000</v>
      </c>
      <c r="H85" s="1154"/>
      <c r="I85" s="1154"/>
      <c r="J85" s="1154">
        <f t="shared" si="11"/>
        <v>5000</v>
      </c>
      <c r="K85" s="1154">
        <v>0</v>
      </c>
      <c r="L85" s="1154"/>
      <c r="M85" s="1154"/>
      <c r="N85" s="1154">
        <f t="shared" si="12"/>
        <v>0</v>
      </c>
      <c r="O85" s="1154">
        <f t="shared" si="13"/>
        <v>5000</v>
      </c>
      <c r="P85" s="1155">
        <f t="shared" si="14"/>
        <v>5000</v>
      </c>
    </row>
    <row r="86" spans="1:16" ht="39" customHeight="1">
      <c r="A86" s="625" t="s">
        <v>392</v>
      </c>
      <c r="B86" s="595" t="s">
        <v>390</v>
      </c>
      <c r="C86" s="691" t="s">
        <v>391</v>
      </c>
      <c r="D86" s="847">
        <v>111</v>
      </c>
      <c r="E86" s="464">
        <v>613720</v>
      </c>
      <c r="F86" s="943" t="s">
        <v>511</v>
      </c>
      <c r="G86" s="1154">
        <v>1000</v>
      </c>
      <c r="H86" s="1154"/>
      <c r="I86" s="1154"/>
      <c r="J86" s="1154">
        <f t="shared" si="11"/>
        <v>1000</v>
      </c>
      <c r="K86" s="1154">
        <v>0</v>
      </c>
      <c r="L86" s="1154"/>
      <c r="M86" s="1154"/>
      <c r="N86" s="1154">
        <f t="shared" si="12"/>
        <v>0</v>
      </c>
      <c r="O86" s="1154">
        <f t="shared" si="13"/>
        <v>1000</v>
      </c>
      <c r="P86" s="1155">
        <f t="shared" si="14"/>
        <v>1000</v>
      </c>
    </row>
    <row r="87" spans="1:16" ht="36" customHeight="1">
      <c r="A87" s="625" t="s">
        <v>392</v>
      </c>
      <c r="B87" s="595" t="s">
        <v>390</v>
      </c>
      <c r="C87" s="691" t="s">
        <v>391</v>
      </c>
      <c r="D87" s="847">
        <v>111</v>
      </c>
      <c r="E87" s="464">
        <v>613910</v>
      </c>
      <c r="F87" s="657" t="s">
        <v>502</v>
      </c>
      <c r="G87" s="1154">
        <v>70000</v>
      </c>
      <c r="H87" s="1154"/>
      <c r="I87" s="1154"/>
      <c r="J87" s="1154">
        <f t="shared" si="11"/>
        <v>70000</v>
      </c>
      <c r="K87" s="1154">
        <v>0</v>
      </c>
      <c r="L87" s="1154"/>
      <c r="M87" s="1154"/>
      <c r="N87" s="1154">
        <f t="shared" si="12"/>
        <v>0</v>
      </c>
      <c r="O87" s="1154">
        <f t="shared" si="13"/>
        <v>70000</v>
      </c>
      <c r="P87" s="1155">
        <f t="shared" si="14"/>
        <v>70000</v>
      </c>
    </row>
    <row r="88" spans="1:16" ht="39" customHeight="1">
      <c r="A88" s="625" t="s">
        <v>392</v>
      </c>
      <c r="B88" s="595" t="s">
        <v>390</v>
      </c>
      <c r="C88" s="691" t="s">
        <v>391</v>
      </c>
      <c r="D88" s="847">
        <v>111</v>
      </c>
      <c r="E88" s="464">
        <v>613934</v>
      </c>
      <c r="F88" s="628" t="s">
        <v>540</v>
      </c>
      <c r="G88" s="1154">
        <v>60000</v>
      </c>
      <c r="H88" s="1154"/>
      <c r="I88" s="1154"/>
      <c r="J88" s="1154">
        <f t="shared" si="11"/>
        <v>60000</v>
      </c>
      <c r="K88" s="1154">
        <v>0</v>
      </c>
      <c r="L88" s="1154"/>
      <c r="M88" s="1154"/>
      <c r="N88" s="1154">
        <f t="shared" si="12"/>
        <v>0</v>
      </c>
      <c r="O88" s="1154">
        <f t="shared" si="13"/>
        <v>60000</v>
      </c>
      <c r="P88" s="1155">
        <f t="shared" si="14"/>
        <v>60000</v>
      </c>
    </row>
    <row r="89" spans="1:16" ht="36" customHeight="1">
      <c r="A89" s="625" t="s">
        <v>392</v>
      </c>
      <c r="B89" s="595" t="s">
        <v>390</v>
      </c>
      <c r="C89" s="691" t="s">
        <v>391</v>
      </c>
      <c r="D89" s="847">
        <v>111</v>
      </c>
      <c r="E89" s="464" t="s">
        <v>632</v>
      </c>
      <c r="F89" s="943" t="s">
        <v>526</v>
      </c>
      <c r="G89" s="1154">
        <v>85000</v>
      </c>
      <c r="H89" s="1154"/>
      <c r="I89" s="1154"/>
      <c r="J89" s="1154">
        <f t="shared" si="11"/>
        <v>85000</v>
      </c>
      <c r="K89" s="1154">
        <v>3731.31</v>
      </c>
      <c r="L89" s="1154"/>
      <c r="M89" s="1154"/>
      <c r="N89" s="1154">
        <f t="shared" si="12"/>
        <v>3731.31</v>
      </c>
      <c r="O89" s="1154">
        <f t="shared" si="13"/>
        <v>88731.31</v>
      </c>
      <c r="P89" s="1155">
        <f t="shared" si="14"/>
        <v>88731.31</v>
      </c>
    </row>
    <row r="90" spans="1:16" ht="37.5" customHeight="1">
      <c r="A90" s="625" t="s">
        <v>392</v>
      </c>
      <c r="B90" s="595" t="s">
        <v>390</v>
      </c>
      <c r="C90" s="691" t="s">
        <v>391</v>
      </c>
      <c r="D90" s="847">
        <v>111</v>
      </c>
      <c r="E90" s="464">
        <v>613974</v>
      </c>
      <c r="F90" s="628" t="s">
        <v>261</v>
      </c>
      <c r="G90" s="1154">
        <v>15000</v>
      </c>
      <c r="H90" s="1154"/>
      <c r="I90" s="1154"/>
      <c r="J90" s="1154">
        <f t="shared" si="11"/>
        <v>15000</v>
      </c>
      <c r="K90" s="1154">
        <v>0</v>
      </c>
      <c r="L90" s="1154"/>
      <c r="M90" s="1154"/>
      <c r="N90" s="1154">
        <f t="shared" si="12"/>
        <v>0</v>
      </c>
      <c r="O90" s="1154">
        <f t="shared" si="13"/>
        <v>15000</v>
      </c>
      <c r="P90" s="1155">
        <f t="shared" si="14"/>
        <v>15000</v>
      </c>
    </row>
    <row r="91" spans="1:16" ht="36" customHeight="1">
      <c r="A91" s="625" t="s">
        <v>392</v>
      </c>
      <c r="B91" s="595" t="s">
        <v>390</v>
      </c>
      <c r="C91" s="691" t="s">
        <v>391</v>
      </c>
      <c r="D91" s="847">
        <v>111</v>
      </c>
      <c r="E91" s="464" t="s">
        <v>621</v>
      </c>
      <c r="F91" s="943" t="s">
        <v>517</v>
      </c>
      <c r="G91" s="1154">
        <v>6000</v>
      </c>
      <c r="H91" s="1154"/>
      <c r="I91" s="1154"/>
      <c r="J91" s="1154">
        <f t="shared" si="11"/>
        <v>6000</v>
      </c>
      <c r="K91" s="1154">
        <v>0</v>
      </c>
      <c r="L91" s="1154"/>
      <c r="M91" s="1154"/>
      <c r="N91" s="1154">
        <f t="shared" si="12"/>
        <v>0</v>
      </c>
      <c r="O91" s="1154">
        <f t="shared" si="13"/>
        <v>6000</v>
      </c>
      <c r="P91" s="1155">
        <f t="shared" si="14"/>
        <v>6000</v>
      </c>
    </row>
    <row r="92" spans="1:16" ht="42" customHeight="1">
      <c r="A92" s="625" t="s">
        <v>392</v>
      </c>
      <c r="B92" s="571" t="s">
        <v>390</v>
      </c>
      <c r="C92" s="572" t="s">
        <v>391</v>
      </c>
      <c r="D92" s="568">
        <v>111</v>
      </c>
      <c r="E92" s="506" t="s">
        <v>620</v>
      </c>
      <c r="F92" s="1061" t="s">
        <v>516</v>
      </c>
      <c r="G92" s="1154">
        <v>50000</v>
      </c>
      <c r="H92" s="1154"/>
      <c r="I92" s="1154"/>
      <c r="J92" s="1154">
        <f t="shared" si="11"/>
        <v>50000</v>
      </c>
      <c r="K92" s="1154">
        <v>0</v>
      </c>
      <c r="L92" s="1154"/>
      <c r="M92" s="1154"/>
      <c r="N92" s="1154">
        <f t="shared" si="12"/>
        <v>0</v>
      </c>
      <c r="O92" s="1154">
        <f t="shared" si="13"/>
        <v>50000</v>
      </c>
      <c r="P92" s="1155">
        <f t="shared" si="14"/>
        <v>50000</v>
      </c>
    </row>
    <row r="93" spans="1:16" ht="42" customHeight="1">
      <c r="A93" s="625" t="s">
        <v>392</v>
      </c>
      <c r="B93" s="595" t="s">
        <v>390</v>
      </c>
      <c r="C93" s="691" t="s">
        <v>391</v>
      </c>
      <c r="D93" s="568">
        <v>361</v>
      </c>
      <c r="E93" s="506" t="s">
        <v>1380</v>
      </c>
      <c r="F93" s="1291" t="s">
        <v>1381</v>
      </c>
      <c r="G93" s="1154">
        <v>120000</v>
      </c>
      <c r="H93" s="1154"/>
      <c r="I93" s="1154"/>
      <c r="J93" s="1154">
        <f t="shared" si="11"/>
        <v>120000</v>
      </c>
      <c r="K93" s="1154">
        <v>0</v>
      </c>
      <c r="L93" s="1154"/>
      <c r="M93" s="1154"/>
      <c r="N93" s="1154">
        <f t="shared" si="12"/>
        <v>0</v>
      </c>
      <c r="O93" s="1154">
        <f t="shared" si="13"/>
        <v>120000</v>
      </c>
      <c r="P93" s="1155">
        <f t="shared" si="14"/>
        <v>120000</v>
      </c>
    </row>
    <row r="94" spans="1:16" ht="45" customHeight="1">
      <c r="A94" s="437" t="s">
        <v>392</v>
      </c>
      <c r="B94" s="438" t="s">
        <v>390</v>
      </c>
      <c r="C94" s="439" t="s">
        <v>391</v>
      </c>
      <c r="D94" s="466">
        <v>111</v>
      </c>
      <c r="E94" s="440" t="s">
        <v>58</v>
      </c>
      <c r="F94" s="503" t="s">
        <v>723</v>
      </c>
      <c r="G94" s="1154">
        <v>4400</v>
      </c>
      <c r="H94" s="1154"/>
      <c r="I94" s="1154"/>
      <c r="J94" s="1154">
        <f t="shared" si="11"/>
        <v>4400</v>
      </c>
      <c r="K94" s="1154">
        <v>0</v>
      </c>
      <c r="L94" s="1154"/>
      <c r="M94" s="1154"/>
      <c r="N94" s="1154">
        <f t="shared" si="12"/>
        <v>0</v>
      </c>
      <c r="O94" s="1154">
        <f t="shared" si="13"/>
        <v>4400</v>
      </c>
      <c r="P94" s="1155">
        <f t="shared" si="14"/>
        <v>4400</v>
      </c>
    </row>
    <row r="95" spans="1:16" ht="60.75" customHeight="1">
      <c r="A95" s="437" t="s">
        <v>392</v>
      </c>
      <c r="B95" s="438" t="s">
        <v>390</v>
      </c>
      <c r="C95" s="439" t="s">
        <v>391</v>
      </c>
      <c r="D95" s="497">
        <v>111</v>
      </c>
      <c r="E95" s="498" t="s">
        <v>315</v>
      </c>
      <c r="F95" s="504" t="s">
        <v>447</v>
      </c>
      <c r="G95" s="1156">
        <v>5000</v>
      </c>
      <c r="H95" s="1156"/>
      <c r="I95" s="1156"/>
      <c r="J95" s="1156">
        <f t="shared" si="11"/>
        <v>5000</v>
      </c>
      <c r="K95" s="1156">
        <v>0</v>
      </c>
      <c r="L95" s="1156"/>
      <c r="M95" s="1156"/>
      <c r="N95" s="1156">
        <f t="shared" si="12"/>
        <v>0</v>
      </c>
      <c r="O95" s="1156">
        <f t="shared" si="13"/>
        <v>5000</v>
      </c>
      <c r="P95" s="1157">
        <f t="shared" si="14"/>
        <v>5000</v>
      </c>
    </row>
    <row r="96" spans="1:16" ht="57.75" customHeight="1">
      <c r="A96" s="499" t="s">
        <v>392</v>
      </c>
      <c r="B96" s="500" t="s">
        <v>390</v>
      </c>
      <c r="C96" s="501" t="s">
        <v>391</v>
      </c>
      <c r="D96" s="505">
        <v>111</v>
      </c>
      <c r="E96" s="506" t="s">
        <v>778</v>
      </c>
      <c r="F96" s="507" t="s">
        <v>777</v>
      </c>
      <c r="G96" s="1156">
        <v>5000</v>
      </c>
      <c r="H96" s="1156"/>
      <c r="I96" s="1156"/>
      <c r="J96" s="1156">
        <f t="shared" si="11"/>
        <v>5000</v>
      </c>
      <c r="K96" s="1156">
        <v>0</v>
      </c>
      <c r="L96" s="1156"/>
      <c r="M96" s="1156"/>
      <c r="N96" s="1156">
        <f t="shared" si="12"/>
        <v>0</v>
      </c>
      <c r="O96" s="1156">
        <f t="shared" si="13"/>
        <v>5000</v>
      </c>
      <c r="P96" s="1157">
        <f t="shared" si="14"/>
        <v>5000</v>
      </c>
    </row>
    <row r="97" spans="1:16" ht="57.75" customHeight="1">
      <c r="A97" s="499" t="s">
        <v>392</v>
      </c>
      <c r="B97" s="500" t="s">
        <v>390</v>
      </c>
      <c r="C97" s="501" t="s">
        <v>391</v>
      </c>
      <c r="D97" s="568">
        <v>821</v>
      </c>
      <c r="E97" s="506" t="s">
        <v>1200</v>
      </c>
      <c r="F97" s="507" t="s">
        <v>1198</v>
      </c>
      <c r="G97" s="1173">
        <v>50000</v>
      </c>
      <c r="H97" s="1173"/>
      <c r="I97" s="1173"/>
      <c r="J97" s="1156">
        <f t="shared" si="11"/>
        <v>50000</v>
      </c>
      <c r="K97" s="1173">
        <v>0</v>
      </c>
      <c r="L97" s="1173"/>
      <c r="M97" s="1173"/>
      <c r="N97" s="1156">
        <f t="shared" si="12"/>
        <v>0</v>
      </c>
      <c r="O97" s="1173">
        <f t="shared" si="13"/>
        <v>50000</v>
      </c>
      <c r="P97" s="1157">
        <f t="shared" si="14"/>
        <v>50000</v>
      </c>
    </row>
    <row r="98" spans="1:16" ht="43.5" customHeight="1">
      <c r="A98" s="508"/>
      <c r="B98" s="509"/>
      <c r="C98" s="510"/>
      <c r="D98" s="511"/>
      <c r="E98" s="448">
        <v>820000</v>
      </c>
      <c r="F98" s="449" t="s">
        <v>527</v>
      </c>
      <c r="G98" s="1158"/>
      <c r="H98" s="1158"/>
      <c r="I98" s="1158"/>
      <c r="J98" s="1158"/>
      <c r="K98" s="1158"/>
      <c r="L98" s="1158"/>
      <c r="M98" s="1158"/>
      <c r="N98" s="1158"/>
      <c r="O98" s="1158"/>
      <c r="P98" s="1159"/>
    </row>
    <row r="99" spans="1:16" ht="43.5" customHeight="1">
      <c r="A99" s="1311" t="s">
        <v>392</v>
      </c>
      <c r="B99" s="1312" t="s">
        <v>390</v>
      </c>
      <c r="C99" s="1336" t="s">
        <v>391</v>
      </c>
      <c r="D99" s="1341">
        <v>111</v>
      </c>
      <c r="E99" s="1313">
        <v>821300</v>
      </c>
      <c r="F99" s="1340" t="s">
        <v>528</v>
      </c>
      <c r="G99" s="1315">
        <v>28000</v>
      </c>
      <c r="H99" s="1315"/>
      <c r="I99" s="1315">
        <v>21000</v>
      </c>
      <c r="J99" s="1315">
        <f>G99+H99-I99</f>
        <v>7000</v>
      </c>
      <c r="K99" s="1315">
        <v>0</v>
      </c>
      <c r="L99" s="1315"/>
      <c r="M99" s="1315"/>
      <c r="N99" s="1315">
        <f>K99+L99-M99</f>
        <v>0</v>
      </c>
      <c r="O99" s="1315">
        <f>G99+K99</f>
        <v>28000</v>
      </c>
      <c r="P99" s="1316">
        <f>J99+N99</f>
        <v>7000</v>
      </c>
    </row>
    <row r="100" spans="1:16" ht="61.5" customHeight="1" thickBot="1">
      <c r="A100" s="512"/>
      <c r="B100" s="513"/>
      <c r="C100" s="513"/>
      <c r="D100" s="514"/>
      <c r="E100" s="514"/>
      <c r="F100" s="515" t="s">
        <v>728</v>
      </c>
      <c r="G100" s="1160">
        <f aca="true" t="shared" si="15" ref="G100:P100">SUM(G80:G99)</f>
        <v>1287300</v>
      </c>
      <c r="H100" s="1160">
        <f t="shared" si="15"/>
        <v>0</v>
      </c>
      <c r="I100" s="1160">
        <f t="shared" si="15"/>
        <v>21000</v>
      </c>
      <c r="J100" s="1160">
        <f t="shared" si="15"/>
        <v>1266300</v>
      </c>
      <c r="K100" s="1160">
        <f t="shared" si="15"/>
        <v>3731.31</v>
      </c>
      <c r="L100" s="1160">
        <f t="shared" si="15"/>
        <v>0</v>
      </c>
      <c r="M100" s="1160">
        <f t="shared" si="15"/>
        <v>0</v>
      </c>
      <c r="N100" s="1160">
        <f t="shared" si="15"/>
        <v>3731.31</v>
      </c>
      <c r="O100" s="1161">
        <f t="shared" si="15"/>
        <v>1291031.31</v>
      </c>
      <c r="P100" s="1162">
        <f t="shared" si="15"/>
        <v>1270031.31</v>
      </c>
    </row>
    <row r="101" spans="1:16" s="519" customFormat="1" ht="48" customHeight="1" thickBot="1">
      <c r="A101" s="516"/>
      <c r="B101" s="517"/>
      <c r="C101" s="517"/>
      <c r="D101" s="491"/>
      <c r="E101" s="491"/>
      <c r="F101" s="518" t="s">
        <v>1142</v>
      </c>
      <c r="G101" s="1175"/>
      <c r="H101" s="1175"/>
      <c r="I101" s="1175"/>
      <c r="J101" s="1175"/>
      <c r="K101" s="1175"/>
      <c r="L101" s="1175"/>
      <c r="M101" s="1175"/>
      <c r="N101" s="1175"/>
      <c r="O101" s="1175"/>
      <c r="P101" s="1176"/>
    </row>
    <row r="102" spans="1:16" ht="48" customHeight="1">
      <c r="A102" s="516"/>
      <c r="B102" s="517"/>
      <c r="C102" s="517"/>
      <c r="D102" s="491"/>
      <c r="E102" s="491"/>
      <c r="F102" s="473" t="s">
        <v>1076</v>
      </c>
      <c r="G102" s="1177"/>
      <c r="H102" s="1177"/>
      <c r="I102" s="1177"/>
      <c r="J102" s="1177"/>
      <c r="K102" s="1177"/>
      <c r="L102" s="1177"/>
      <c r="M102" s="1177"/>
      <c r="N102" s="1177"/>
      <c r="O102" s="1177">
        <v>22</v>
      </c>
      <c r="P102" s="1178"/>
    </row>
    <row r="103" spans="1:16" ht="48" customHeight="1" thickBot="1">
      <c r="A103" s="520"/>
      <c r="B103" s="521"/>
      <c r="C103" s="521"/>
      <c r="D103" s="522"/>
      <c r="E103" s="522"/>
      <c r="F103" s="515" t="s">
        <v>834</v>
      </c>
      <c r="G103" s="1179"/>
      <c r="H103" s="1179"/>
      <c r="I103" s="1179"/>
      <c r="J103" s="1179"/>
      <c r="K103" s="1179"/>
      <c r="L103" s="1179"/>
      <c r="M103" s="1179"/>
      <c r="N103" s="1179"/>
      <c r="O103" s="1179">
        <v>28</v>
      </c>
      <c r="P103" s="1180"/>
    </row>
    <row r="104" spans="1:16" s="527" customFormat="1" ht="275.25" customHeight="1" thickBot="1">
      <c r="A104" s="523" t="s">
        <v>494</v>
      </c>
      <c r="B104" s="524" t="s">
        <v>495</v>
      </c>
      <c r="C104" s="403" t="s">
        <v>687</v>
      </c>
      <c r="D104" s="525" t="s">
        <v>497</v>
      </c>
      <c r="E104" s="525" t="s">
        <v>188</v>
      </c>
      <c r="F104" s="526" t="s">
        <v>496</v>
      </c>
      <c r="G104" s="813" t="s">
        <v>1322</v>
      </c>
      <c r="H104" s="813" t="s">
        <v>1324</v>
      </c>
      <c r="I104" s="813" t="s">
        <v>1325</v>
      </c>
      <c r="J104" s="813" t="s">
        <v>1326</v>
      </c>
      <c r="K104" s="813" t="s">
        <v>1323</v>
      </c>
      <c r="L104" s="813" t="s">
        <v>1327</v>
      </c>
      <c r="M104" s="813" t="s">
        <v>1328</v>
      </c>
      <c r="N104" s="813" t="s">
        <v>1329</v>
      </c>
      <c r="O104" s="1278" t="s">
        <v>1321</v>
      </c>
      <c r="P104" s="1149" t="s">
        <v>1330</v>
      </c>
    </row>
    <row r="105" spans="1:16" ht="23.25" customHeight="1">
      <c r="A105" s="1541">
        <v>0</v>
      </c>
      <c r="B105" s="1542"/>
      <c r="C105" s="1542"/>
      <c r="D105" s="528">
        <v>1</v>
      </c>
      <c r="E105" s="528">
        <v>2</v>
      </c>
      <c r="F105" s="529">
        <v>3</v>
      </c>
      <c r="G105" s="1150">
        <v>4</v>
      </c>
      <c r="H105" s="1150">
        <v>5</v>
      </c>
      <c r="I105" s="1150">
        <v>6</v>
      </c>
      <c r="J105" s="1150">
        <v>7</v>
      </c>
      <c r="K105" s="1150">
        <v>8</v>
      </c>
      <c r="L105" s="1150">
        <v>9</v>
      </c>
      <c r="M105" s="1150">
        <v>10</v>
      </c>
      <c r="N105" s="1150">
        <v>11</v>
      </c>
      <c r="O105" s="1150">
        <v>12</v>
      </c>
      <c r="P105" s="1151">
        <v>13</v>
      </c>
    </row>
    <row r="106" spans="1:16" ht="66" customHeight="1">
      <c r="A106" s="483" t="s">
        <v>392</v>
      </c>
      <c r="B106" s="484"/>
      <c r="C106" s="484"/>
      <c r="D106" s="413"/>
      <c r="E106" s="530"/>
      <c r="F106" s="487" t="s">
        <v>729</v>
      </c>
      <c r="G106" s="415"/>
      <c r="H106" s="415"/>
      <c r="I106" s="415"/>
      <c r="J106" s="415"/>
      <c r="K106" s="415"/>
      <c r="L106" s="415"/>
      <c r="M106" s="415"/>
      <c r="N106" s="415"/>
      <c r="O106" s="415"/>
      <c r="P106" s="1152"/>
    </row>
    <row r="107" spans="1:16" ht="35.25" customHeight="1">
      <c r="A107" s="488" t="s">
        <v>392</v>
      </c>
      <c r="B107" s="489" t="s">
        <v>392</v>
      </c>
      <c r="C107" s="489"/>
      <c r="D107" s="420"/>
      <c r="E107" s="531"/>
      <c r="F107" s="492" t="s">
        <v>11</v>
      </c>
      <c r="G107" s="422"/>
      <c r="H107" s="422"/>
      <c r="I107" s="422"/>
      <c r="J107" s="422"/>
      <c r="K107" s="422"/>
      <c r="L107" s="422"/>
      <c r="M107" s="422"/>
      <c r="N107" s="422"/>
      <c r="O107" s="422"/>
      <c r="P107" s="1153"/>
    </row>
    <row r="108" spans="1:16" ht="41.25" customHeight="1">
      <c r="A108" s="488"/>
      <c r="B108" s="489"/>
      <c r="C108" s="532"/>
      <c r="D108" s="420"/>
      <c r="E108" s="533">
        <v>610000</v>
      </c>
      <c r="F108" s="534" t="s">
        <v>498</v>
      </c>
      <c r="G108" s="422"/>
      <c r="H108" s="422"/>
      <c r="I108" s="422"/>
      <c r="J108" s="422"/>
      <c r="K108" s="422"/>
      <c r="L108" s="422"/>
      <c r="M108" s="422"/>
      <c r="N108" s="422"/>
      <c r="O108" s="422"/>
      <c r="P108" s="1153"/>
    </row>
    <row r="109" spans="1:16" ht="39.75" customHeight="1">
      <c r="A109" s="881" t="s">
        <v>392</v>
      </c>
      <c r="B109" s="882" t="s">
        <v>392</v>
      </c>
      <c r="C109" s="914" t="s">
        <v>391</v>
      </c>
      <c r="D109" s="889">
        <v>133</v>
      </c>
      <c r="E109" s="692">
        <v>610000</v>
      </c>
      <c r="F109" s="903" t="s">
        <v>684</v>
      </c>
      <c r="G109" s="1154">
        <v>150000</v>
      </c>
      <c r="H109" s="1154"/>
      <c r="I109" s="1154"/>
      <c r="J109" s="1154">
        <f>G109+H109-I109</f>
        <v>150000</v>
      </c>
      <c r="K109" s="1154">
        <v>0</v>
      </c>
      <c r="L109" s="1154"/>
      <c r="M109" s="1154"/>
      <c r="N109" s="1154">
        <f>K109+L109-M109</f>
        <v>0</v>
      </c>
      <c r="O109" s="1154">
        <f>G109+K109</f>
        <v>150000</v>
      </c>
      <c r="P109" s="1155">
        <f>J109+N109</f>
        <v>150000</v>
      </c>
    </row>
    <row r="110" spans="1:16" s="423" customFormat="1" ht="46.5" customHeight="1" thickBot="1">
      <c r="A110" s="539"/>
      <c r="B110" s="540"/>
      <c r="C110" s="540"/>
      <c r="D110" s="541"/>
      <c r="E110" s="542"/>
      <c r="F110" s="515" t="s">
        <v>175</v>
      </c>
      <c r="G110" s="1160">
        <f aca="true" t="shared" si="16" ref="G110:P110">SUM(G109)</f>
        <v>150000</v>
      </c>
      <c r="H110" s="1160">
        <f t="shared" si="16"/>
        <v>0</v>
      </c>
      <c r="I110" s="1160">
        <f t="shared" si="16"/>
        <v>0</v>
      </c>
      <c r="J110" s="1160">
        <f t="shared" si="16"/>
        <v>150000</v>
      </c>
      <c r="K110" s="1160">
        <f t="shared" si="16"/>
        <v>0</v>
      </c>
      <c r="L110" s="1160">
        <f t="shared" si="16"/>
        <v>0</v>
      </c>
      <c r="M110" s="1160">
        <f t="shared" si="16"/>
        <v>0</v>
      </c>
      <c r="N110" s="1160">
        <f t="shared" si="16"/>
        <v>0</v>
      </c>
      <c r="O110" s="1161">
        <f t="shared" si="16"/>
        <v>150000</v>
      </c>
      <c r="P110" s="1162">
        <f t="shared" si="16"/>
        <v>150000</v>
      </c>
    </row>
    <row r="111" spans="1:16" ht="278.25" customHeight="1">
      <c r="A111" s="401" t="s">
        <v>494</v>
      </c>
      <c r="B111" s="402" t="s">
        <v>495</v>
      </c>
      <c r="C111" s="403" t="s">
        <v>687</v>
      </c>
      <c r="D111" s="404" t="s">
        <v>497</v>
      </c>
      <c r="E111" s="404" t="s">
        <v>188</v>
      </c>
      <c r="F111" s="405" t="s">
        <v>496</v>
      </c>
      <c r="G111" s="813" t="s">
        <v>1322</v>
      </c>
      <c r="H111" s="813" t="s">
        <v>1324</v>
      </c>
      <c r="I111" s="813" t="s">
        <v>1325</v>
      </c>
      <c r="J111" s="813" t="s">
        <v>1326</v>
      </c>
      <c r="K111" s="813" t="s">
        <v>1323</v>
      </c>
      <c r="L111" s="813" t="s">
        <v>1327</v>
      </c>
      <c r="M111" s="813" t="s">
        <v>1328</v>
      </c>
      <c r="N111" s="813" t="s">
        <v>1329</v>
      </c>
      <c r="O111" s="1278" t="s">
        <v>1321</v>
      </c>
      <c r="P111" s="1149" t="s">
        <v>1330</v>
      </c>
    </row>
    <row r="112" spans="1:16" ht="26.25" customHeight="1">
      <c r="A112" s="1533">
        <v>0</v>
      </c>
      <c r="B112" s="1534"/>
      <c r="C112" s="1534"/>
      <c r="D112" s="409">
        <v>1</v>
      </c>
      <c r="E112" s="409">
        <v>2</v>
      </c>
      <c r="F112" s="410">
        <v>3</v>
      </c>
      <c r="G112" s="1150">
        <v>4</v>
      </c>
      <c r="H112" s="1150">
        <v>5</v>
      </c>
      <c r="I112" s="1150">
        <v>6</v>
      </c>
      <c r="J112" s="1150">
        <v>7</v>
      </c>
      <c r="K112" s="1150">
        <v>8</v>
      </c>
      <c r="L112" s="1150">
        <v>9</v>
      </c>
      <c r="M112" s="1150">
        <v>10</v>
      </c>
      <c r="N112" s="1150">
        <v>11</v>
      </c>
      <c r="O112" s="1150">
        <v>12</v>
      </c>
      <c r="P112" s="1151">
        <v>13</v>
      </c>
    </row>
    <row r="113" spans="1:16" ht="52.5" customHeight="1">
      <c r="A113" s="483" t="s">
        <v>392</v>
      </c>
      <c r="B113" s="484"/>
      <c r="C113" s="484"/>
      <c r="D113" s="413"/>
      <c r="E113" s="530"/>
      <c r="F113" s="487" t="s">
        <v>729</v>
      </c>
      <c r="G113" s="415"/>
      <c r="H113" s="415"/>
      <c r="I113" s="415"/>
      <c r="J113" s="415"/>
      <c r="K113" s="415"/>
      <c r="L113" s="415"/>
      <c r="M113" s="415"/>
      <c r="N113" s="415"/>
      <c r="O113" s="415"/>
      <c r="P113" s="1152"/>
    </row>
    <row r="114" spans="1:16" ht="46.5" customHeight="1">
      <c r="A114" s="488" t="s">
        <v>392</v>
      </c>
      <c r="B114" s="489" t="s">
        <v>393</v>
      </c>
      <c r="C114" s="489"/>
      <c r="D114" s="420"/>
      <c r="E114" s="531"/>
      <c r="F114" s="492" t="s">
        <v>12</v>
      </c>
      <c r="G114" s="422"/>
      <c r="H114" s="422"/>
      <c r="I114" s="422"/>
      <c r="J114" s="422"/>
      <c r="K114" s="422"/>
      <c r="L114" s="422"/>
      <c r="M114" s="422"/>
      <c r="N114" s="422"/>
      <c r="O114" s="422"/>
      <c r="P114" s="1153"/>
    </row>
    <row r="115" spans="1:16" ht="46.5" customHeight="1">
      <c r="A115" s="488"/>
      <c r="B115" s="489"/>
      <c r="C115" s="532"/>
      <c r="D115" s="420"/>
      <c r="E115" s="533">
        <v>610000</v>
      </c>
      <c r="F115" s="534" t="s">
        <v>498</v>
      </c>
      <c r="G115" s="422"/>
      <c r="H115" s="422"/>
      <c r="I115" s="422"/>
      <c r="J115" s="422"/>
      <c r="K115" s="422"/>
      <c r="L115" s="422"/>
      <c r="M115" s="422"/>
      <c r="N115" s="422"/>
      <c r="O115" s="422"/>
      <c r="P115" s="1153"/>
    </row>
    <row r="116" spans="1:16" ht="46.5" customHeight="1">
      <c r="A116" s="442" t="s">
        <v>392</v>
      </c>
      <c r="B116" s="535" t="s">
        <v>393</v>
      </c>
      <c r="C116" s="536" t="s">
        <v>391</v>
      </c>
      <c r="D116" s="543">
        <v>122</v>
      </c>
      <c r="E116" s="544">
        <v>613100</v>
      </c>
      <c r="F116" s="545" t="s">
        <v>997</v>
      </c>
      <c r="G116" s="1154">
        <v>0</v>
      </c>
      <c r="H116" s="1154"/>
      <c r="I116" s="1154"/>
      <c r="J116" s="1154">
        <f aca="true" t="shared" si="17" ref="J116:J124">G116+H116-I116</f>
        <v>0</v>
      </c>
      <c r="K116" s="1154">
        <v>3000</v>
      </c>
      <c r="L116" s="1154"/>
      <c r="M116" s="1154"/>
      <c r="N116" s="1154">
        <f aca="true" t="shared" si="18" ref="N116:N124">K116+L116-M116</f>
        <v>3000</v>
      </c>
      <c r="O116" s="1154">
        <f aca="true" t="shared" si="19" ref="O116:O124">G116+K116</f>
        <v>3000</v>
      </c>
      <c r="P116" s="1155">
        <f aca="true" t="shared" si="20" ref="P116:P124">J116+N116</f>
        <v>3000</v>
      </c>
    </row>
    <row r="117" spans="1:16" ht="36" customHeight="1">
      <c r="A117" s="546" t="s">
        <v>392</v>
      </c>
      <c r="B117" s="547" t="s">
        <v>393</v>
      </c>
      <c r="C117" s="548" t="s">
        <v>391</v>
      </c>
      <c r="D117" s="549">
        <v>122</v>
      </c>
      <c r="E117" s="550">
        <v>613210</v>
      </c>
      <c r="F117" s="714" t="s">
        <v>660</v>
      </c>
      <c r="G117" s="1154">
        <v>0</v>
      </c>
      <c r="H117" s="1154"/>
      <c r="I117" s="1154"/>
      <c r="J117" s="1154">
        <f t="shared" si="17"/>
        <v>0</v>
      </c>
      <c r="K117" s="1154">
        <v>5000</v>
      </c>
      <c r="L117" s="1154"/>
      <c r="M117" s="1154"/>
      <c r="N117" s="1154">
        <f t="shared" si="18"/>
        <v>5000</v>
      </c>
      <c r="O117" s="1154">
        <f t="shared" si="19"/>
        <v>5000</v>
      </c>
      <c r="P117" s="1155">
        <f t="shared" si="20"/>
        <v>5000</v>
      </c>
    </row>
    <row r="118" spans="1:16" ht="39" customHeight="1">
      <c r="A118" s="1122" t="s">
        <v>392</v>
      </c>
      <c r="B118" s="547" t="s">
        <v>393</v>
      </c>
      <c r="C118" s="548" t="s">
        <v>391</v>
      </c>
      <c r="D118" s="549">
        <v>122</v>
      </c>
      <c r="E118" s="544">
        <v>613310</v>
      </c>
      <c r="F118" s="1007" t="s">
        <v>616</v>
      </c>
      <c r="G118" s="1154">
        <v>0</v>
      </c>
      <c r="H118" s="1154"/>
      <c r="I118" s="1154"/>
      <c r="J118" s="1154">
        <f t="shared" si="17"/>
        <v>0</v>
      </c>
      <c r="K118" s="1154">
        <v>600</v>
      </c>
      <c r="L118" s="1154"/>
      <c r="M118" s="1154"/>
      <c r="N118" s="1154">
        <f t="shared" si="18"/>
        <v>600</v>
      </c>
      <c r="O118" s="1154">
        <f t="shared" si="19"/>
        <v>600</v>
      </c>
      <c r="P118" s="1155">
        <f t="shared" si="20"/>
        <v>600</v>
      </c>
    </row>
    <row r="119" spans="1:16" ht="34.5" customHeight="1">
      <c r="A119" s="1122" t="s">
        <v>392</v>
      </c>
      <c r="B119" s="547" t="s">
        <v>393</v>
      </c>
      <c r="C119" s="548" t="s">
        <v>391</v>
      </c>
      <c r="D119" s="549">
        <v>122</v>
      </c>
      <c r="E119" s="908">
        <v>613320</v>
      </c>
      <c r="F119" s="714" t="s">
        <v>926</v>
      </c>
      <c r="G119" s="1154">
        <v>2300</v>
      </c>
      <c r="H119" s="1154"/>
      <c r="I119" s="1154"/>
      <c r="J119" s="1154">
        <f t="shared" si="17"/>
        <v>2300</v>
      </c>
      <c r="K119" s="1154">
        <v>0</v>
      </c>
      <c r="L119" s="1154"/>
      <c r="M119" s="1154"/>
      <c r="N119" s="1154">
        <f t="shared" si="18"/>
        <v>0</v>
      </c>
      <c r="O119" s="1154">
        <f t="shared" si="19"/>
        <v>2300</v>
      </c>
      <c r="P119" s="1155">
        <f t="shared" si="20"/>
        <v>2300</v>
      </c>
    </row>
    <row r="120" spans="1:16" ht="37.5" customHeight="1">
      <c r="A120" s="428" t="s">
        <v>392</v>
      </c>
      <c r="B120" s="429" t="s">
        <v>393</v>
      </c>
      <c r="C120" s="430" t="s">
        <v>391</v>
      </c>
      <c r="D120" s="537">
        <v>122</v>
      </c>
      <c r="E120" s="544">
        <v>613400</v>
      </c>
      <c r="F120" s="545" t="s">
        <v>501</v>
      </c>
      <c r="G120" s="1154">
        <v>0</v>
      </c>
      <c r="H120" s="1154"/>
      <c r="I120" s="1154"/>
      <c r="J120" s="1154">
        <f t="shared" si="17"/>
        <v>0</v>
      </c>
      <c r="K120" s="1154">
        <v>10200</v>
      </c>
      <c r="L120" s="1154"/>
      <c r="M120" s="1154"/>
      <c r="N120" s="1154">
        <f t="shared" si="18"/>
        <v>10200</v>
      </c>
      <c r="O120" s="1154">
        <f t="shared" si="19"/>
        <v>10200</v>
      </c>
      <c r="P120" s="1155">
        <f t="shared" si="20"/>
        <v>10200</v>
      </c>
    </row>
    <row r="121" spans="1:16" ht="37.5" customHeight="1">
      <c r="A121" s="546" t="s">
        <v>392</v>
      </c>
      <c r="B121" s="547" t="s">
        <v>393</v>
      </c>
      <c r="C121" s="548" t="s">
        <v>391</v>
      </c>
      <c r="D121" s="549">
        <v>122</v>
      </c>
      <c r="E121" s="908">
        <v>613500</v>
      </c>
      <c r="F121" s="551" t="s">
        <v>661</v>
      </c>
      <c r="G121" s="1154">
        <v>0</v>
      </c>
      <c r="H121" s="1154"/>
      <c r="I121" s="1154"/>
      <c r="J121" s="1154">
        <f t="shared" si="17"/>
        <v>0</v>
      </c>
      <c r="K121" s="1154">
        <v>2000</v>
      </c>
      <c r="L121" s="1154"/>
      <c r="M121" s="1154"/>
      <c r="N121" s="1154">
        <f t="shared" si="18"/>
        <v>2000</v>
      </c>
      <c r="O121" s="1154">
        <f t="shared" si="19"/>
        <v>2000</v>
      </c>
      <c r="P121" s="1155">
        <f t="shared" si="20"/>
        <v>2000</v>
      </c>
    </row>
    <row r="122" spans="1:16" ht="37.5" customHeight="1">
      <c r="A122" s="546" t="s">
        <v>392</v>
      </c>
      <c r="B122" s="547" t="s">
        <v>393</v>
      </c>
      <c r="C122" s="548" t="s">
        <v>391</v>
      </c>
      <c r="D122" s="549">
        <v>122</v>
      </c>
      <c r="E122" s="930">
        <v>613720</v>
      </c>
      <c r="F122" s="551" t="s">
        <v>511</v>
      </c>
      <c r="G122" s="1154">
        <v>0</v>
      </c>
      <c r="H122" s="1154"/>
      <c r="I122" s="1154"/>
      <c r="J122" s="1154">
        <f t="shared" si="17"/>
        <v>0</v>
      </c>
      <c r="K122" s="1154">
        <v>4100</v>
      </c>
      <c r="L122" s="1154"/>
      <c r="M122" s="1154"/>
      <c r="N122" s="1154">
        <f t="shared" si="18"/>
        <v>4100</v>
      </c>
      <c r="O122" s="1154">
        <f t="shared" si="19"/>
        <v>4100</v>
      </c>
      <c r="P122" s="1155">
        <f t="shared" si="20"/>
        <v>4100</v>
      </c>
    </row>
    <row r="123" spans="1:16" ht="34.5" customHeight="1">
      <c r="A123" s="546" t="s">
        <v>392</v>
      </c>
      <c r="B123" s="547" t="s">
        <v>393</v>
      </c>
      <c r="C123" s="548" t="s">
        <v>391</v>
      </c>
      <c r="D123" s="549">
        <v>122</v>
      </c>
      <c r="E123" s="930">
        <v>613910</v>
      </c>
      <c r="F123" s="551" t="s">
        <v>512</v>
      </c>
      <c r="G123" s="1154">
        <v>0</v>
      </c>
      <c r="H123" s="1154"/>
      <c r="I123" s="1154"/>
      <c r="J123" s="1154">
        <f t="shared" si="17"/>
        <v>0</v>
      </c>
      <c r="K123" s="1154">
        <v>16000</v>
      </c>
      <c r="L123" s="1154"/>
      <c r="M123" s="1154"/>
      <c r="N123" s="1154">
        <f t="shared" si="18"/>
        <v>16000</v>
      </c>
      <c r="O123" s="1154">
        <f t="shared" si="19"/>
        <v>16000</v>
      </c>
      <c r="P123" s="1155">
        <f t="shared" si="20"/>
        <v>16000</v>
      </c>
    </row>
    <row r="124" spans="1:16" ht="34.5" customHeight="1">
      <c r="A124" s="546" t="s">
        <v>392</v>
      </c>
      <c r="B124" s="547" t="s">
        <v>393</v>
      </c>
      <c r="C124" s="548" t="s">
        <v>391</v>
      </c>
      <c r="D124" s="549">
        <v>122</v>
      </c>
      <c r="E124" s="930" t="s">
        <v>621</v>
      </c>
      <c r="F124" s="551" t="s">
        <v>532</v>
      </c>
      <c r="G124" s="1181">
        <v>0</v>
      </c>
      <c r="H124" s="1181"/>
      <c r="I124" s="1181"/>
      <c r="J124" s="1154">
        <f t="shared" si="17"/>
        <v>0</v>
      </c>
      <c r="K124" s="1181">
        <v>6700</v>
      </c>
      <c r="L124" s="1181"/>
      <c r="M124" s="1181"/>
      <c r="N124" s="1154">
        <f t="shared" si="18"/>
        <v>6700</v>
      </c>
      <c r="O124" s="1154">
        <f t="shared" si="19"/>
        <v>6700</v>
      </c>
      <c r="P124" s="1155">
        <f t="shared" si="20"/>
        <v>6700</v>
      </c>
    </row>
    <row r="125" spans="1:16" ht="46.5" customHeight="1">
      <c r="A125" s="442"/>
      <c r="B125" s="535"/>
      <c r="C125" s="536"/>
      <c r="D125" s="543"/>
      <c r="E125" s="533">
        <v>820000</v>
      </c>
      <c r="F125" s="534" t="s">
        <v>698</v>
      </c>
      <c r="G125" s="1158"/>
      <c r="H125" s="1158"/>
      <c r="I125" s="1158"/>
      <c r="J125" s="1158"/>
      <c r="K125" s="1158"/>
      <c r="L125" s="1158"/>
      <c r="M125" s="1158"/>
      <c r="N125" s="1158"/>
      <c r="O125" s="1158"/>
      <c r="P125" s="1159"/>
    </row>
    <row r="126" spans="1:16" ht="46.5" customHeight="1">
      <c r="A126" s="428" t="s">
        <v>392</v>
      </c>
      <c r="B126" s="429" t="s">
        <v>393</v>
      </c>
      <c r="C126" s="430" t="s">
        <v>391</v>
      </c>
      <c r="D126" s="537">
        <v>122</v>
      </c>
      <c r="E126" s="538">
        <v>821300</v>
      </c>
      <c r="F126" s="450" t="s">
        <v>694</v>
      </c>
      <c r="G126" s="1154">
        <v>0</v>
      </c>
      <c r="H126" s="1154"/>
      <c r="I126" s="1154"/>
      <c r="J126" s="1154">
        <f>G126+H126-I126</f>
        <v>0</v>
      </c>
      <c r="K126" s="1154">
        <v>11000</v>
      </c>
      <c r="L126" s="1154"/>
      <c r="M126" s="1154"/>
      <c r="N126" s="1154">
        <f>K126+L126-M126</f>
        <v>11000</v>
      </c>
      <c r="O126" s="1154">
        <f>G126+K126</f>
        <v>11000</v>
      </c>
      <c r="P126" s="1155">
        <f>J126+N126</f>
        <v>11000</v>
      </c>
    </row>
    <row r="127" spans="1:16" ht="46.5" customHeight="1">
      <c r="A127" s="428" t="s">
        <v>392</v>
      </c>
      <c r="B127" s="429" t="s">
        <v>393</v>
      </c>
      <c r="C127" s="430" t="s">
        <v>391</v>
      </c>
      <c r="D127" s="537">
        <v>122</v>
      </c>
      <c r="E127" s="550" t="s">
        <v>998</v>
      </c>
      <c r="F127" s="551" t="s">
        <v>999</v>
      </c>
      <c r="G127" s="1182">
        <v>0</v>
      </c>
      <c r="H127" s="1154"/>
      <c r="I127" s="1154"/>
      <c r="J127" s="1154">
        <f>G127+H127-I127</f>
        <v>0</v>
      </c>
      <c r="K127" s="1154">
        <v>157000</v>
      </c>
      <c r="L127" s="1154"/>
      <c r="M127" s="1154"/>
      <c r="N127" s="1154">
        <f>K127+L127-M127</f>
        <v>157000</v>
      </c>
      <c r="O127" s="1154">
        <f>G127+K127</f>
        <v>157000</v>
      </c>
      <c r="P127" s="1155">
        <f>J127+N127</f>
        <v>157000</v>
      </c>
    </row>
    <row r="128" spans="1:16" ht="46.5" customHeight="1" thickBot="1">
      <c r="A128" s="552"/>
      <c r="B128" s="553"/>
      <c r="C128" s="553"/>
      <c r="D128" s="543"/>
      <c r="E128" s="544"/>
      <c r="F128" s="492" t="s">
        <v>176</v>
      </c>
      <c r="G128" s="1183">
        <f aca="true" t="shared" si="21" ref="G128:P128">SUM(G116:G127,)</f>
        <v>2300</v>
      </c>
      <c r="H128" s="1183">
        <f t="shared" si="21"/>
        <v>0</v>
      </c>
      <c r="I128" s="1183">
        <f t="shared" si="21"/>
        <v>0</v>
      </c>
      <c r="J128" s="1183">
        <f t="shared" si="21"/>
        <v>2300</v>
      </c>
      <c r="K128" s="1183">
        <f t="shared" si="21"/>
        <v>215600</v>
      </c>
      <c r="L128" s="1183">
        <f t="shared" si="21"/>
        <v>0</v>
      </c>
      <c r="M128" s="1183">
        <f t="shared" si="21"/>
        <v>0</v>
      </c>
      <c r="N128" s="1183">
        <f t="shared" si="21"/>
        <v>215600</v>
      </c>
      <c r="O128" s="1184">
        <f t="shared" si="21"/>
        <v>217900</v>
      </c>
      <c r="P128" s="1185">
        <f t="shared" si="21"/>
        <v>217900</v>
      </c>
    </row>
    <row r="129" spans="1:16" ht="60.75" customHeight="1" thickBot="1">
      <c r="A129" s="554"/>
      <c r="B129" s="555"/>
      <c r="C129" s="555"/>
      <c r="D129" s="556"/>
      <c r="E129" s="557"/>
      <c r="F129" s="558" t="s">
        <v>730</v>
      </c>
      <c r="G129" s="1186">
        <f aca="true" t="shared" si="22" ref="G129:P129">SUM(G128,G110,G100,)</f>
        <v>1439600</v>
      </c>
      <c r="H129" s="1186">
        <f t="shared" si="22"/>
        <v>0</v>
      </c>
      <c r="I129" s="1186">
        <f t="shared" si="22"/>
        <v>21000</v>
      </c>
      <c r="J129" s="1186">
        <f t="shared" si="22"/>
        <v>1418600</v>
      </c>
      <c r="K129" s="1186">
        <f t="shared" si="22"/>
        <v>219331.31</v>
      </c>
      <c r="L129" s="1186">
        <f t="shared" si="22"/>
        <v>0</v>
      </c>
      <c r="M129" s="1186">
        <f t="shared" si="22"/>
        <v>0</v>
      </c>
      <c r="N129" s="1186">
        <f t="shared" si="22"/>
        <v>219331.31</v>
      </c>
      <c r="O129" s="1187">
        <f t="shared" si="22"/>
        <v>1658931.31</v>
      </c>
      <c r="P129" s="1188">
        <f t="shared" si="22"/>
        <v>1637931.31</v>
      </c>
    </row>
    <row r="130" spans="1:16" ht="277.5" customHeight="1">
      <c r="A130" s="401" t="s">
        <v>494</v>
      </c>
      <c r="B130" s="402" t="s">
        <v>495</v>
      </c>
      <c r="C130" s="403" t="s">
        <v>687</v>
      </c>
      <c r="D130" s="404" t="s">
        <v>497</v>
      </c>
      <c r="E130" s="404" t="s">
        <v>188</v>
      </c>
      <c r="F130" s="405" t="s">
        <v>496</v>
      </c>
      <c r="G130" s="813" t="s">
        <v>1322</v>
      </c>
      <c r="H130" s="813" t="s">
        <v>1324</v>
      </c>
      <c r="I130" s="813" t="s">
        <v>1325</v>
      </c>
      <c r="J130" s="813" t="s">
        <v>1326</v>
      </c>
      <c r="K130" s="813" t="s">
        <v>1323</v>
      </c>
      <c r="L130" s="813" t="s">
        <v>1327</v>
      </c>
      <c r="M130" s="813" t="s">
        <v>1328</v>
      </c>
      <c r="N130" s="813" t="s">
        <v>1329</v>
      </c>
      <c r="O130" s="1278" t="s">
        <v>1321</v>
      </c>
      <c r="P130" s="1149" t="s">
        <v>1330</v>
      </c>
    </row>
    <row r="131" spans="1:16" ht="20.25">
      <c r="A131" s="1533">
        <v>0</v>
      </c>
      <c r="B131" s="1534"/>
      <c r="C131" s="1534"/>
      <c r="D131" s="409">
        <v>1</v>
      </c>
      <c r="E131" s="409">
        <v>2</v>
      </c>
      <c r="F131" s="410">
        <v>3</v>
      </c>
      <c r="G131" s="1150">
        <v>4</v>
      </c>
      <c r="H131" s="1150">
        <v>5</v>
      </c>
      <c r="I131" s="1150">
        <v>6</v>
      </c>
      <c r="J131" s="1150">
        <v>7</v>
      </c>
      <c r="K131" s="1150">
        <v>8</v>
      </c>
      <c r="L131" s="1150">
        <v>9</v>
      </c>
      <c r="M131" s="1150">
        <v>10</v>
      </c>
      <c r="N131" s="1150">
        <v>11</v>
      </c>
      <c r="O131" s="1150">
        <v>12</v>
      </c>
      <c r="P131" s="1151">
        <v>13</v>
      </c>
    </row>
    <row r="132" spans="1:16" ht="43.5" customHeight="1">
      <c r="A132" s="483" t="s">
        <v>393</v>
      </c>
      <c r="B132" s="484"/>
      <c r="C132" s="484"/>
      <c r="D132" s="413"/>
      <c r="E132" s="413"/>
      <c r="F132" s="414" t="s">
        <v>468</v>
      </c>
      <c r="G132" s="415"/>
      <c r="H132" s="415"/>
      <c r="I132" s="415"/>
      <c r="J132" s="415"/>
      <c r="K132" s="415"/>
      <c r="L132" s="415"/>
      <c r="M132" s="415"/>
      <c r="N132" s="415"/>
      <c r="O132" s="415"/>
      <c r="P132" s="1152"/>
    </row>
    <row r="133" spans="1:16" ht="39" customHeight="1">
      <c r="A133" s="488" t="s">
        <v>393</v>
      </c>
      <c r="B133" s="489" t="s">
        <v>390</v>
      </c>
      <c r="C133" s="489"/>
      <c r="D133" s="420"/>
      <c r="E133" s="420"/>
      <c r="F133" s="559" t="s">
        <v>707</v>
      </c>
      <c r="G133" s="422"/>
      <c r="H133" s="422"/>
      <c r="I133" s="422"/>
      <c r="J133" s="422"/>
      <c r="K133" s="422"/>
      <c r="L133" s="422"/>
      <c r="M133" s="422"/>
      <c r="N133" s="422"/>
      <c r="O133" s="422"/>
      <c r="P133" s="1153"/>
    </row>
    <row r="134" spans="1:16" ht="45" customHeight="1">
      <c r="A134" s="552"/>
      <c r="B134" s="553"/>
      <c r="C134" s="553"/>
      <c r="D134" s="419"/>
      <c r="E134" s="426">
        <v>610000</v>
      </c>
      <c r="F134" s="495" t="s">
        <v>529</v>
      </c>
      <c r="G134" s="422"/>
      <c r="H134" s="422"/>
      <c r="I134" s="422"/>
      <c r="J134" s="422"/>
      <c r="K134" s="422"/>
      <c r="L134" s="422"/>
      <c r="M134" s="422"/>
      <c r="N134" s="422"/>
      <c r="O134" s="422"/>
      <c r="P134" s="1153"/>
    </row>
    <row r="135" spans="1:16" ht="45" customHeight="1">
      <c r="A135" s="625" t="s">
        <v>393</v>
      </c>
      <c r="B135" s="595" t="s">
        <v>390</v>
      </c>
      <c r="C135" s="691" t="s">
        <v>391</v>
      </c>
      <c r="D135" s="870">
        <v>112</v>
      </c>
      <c r="E135" s="596">
        <v>611100</v>
      </c>
      <c r="F135" s="626" t="s">
        <v>962</v>
      </c>
      <c r="G135" s="1154">
        <v>737000</v>
      </c>
      <c r="H135" s="1154"/>
      <c r="I135" s="1154"/>
      <c r="J135" s="1154">
        <f aca="true" t="shared" si="23" ref="J135:J146">G135+H135-I135</f>
        <v>737000</v>
      </c>
      <c r="K135" s="1154">
        <v>0</v>
      </c>
      <c r="L135" s="1154"/>
      <c r="M135" s="1154"/>
      <c r="N135" s="1154">
        <f aca="true" t="shared" si="24" ref="N135:N146">K135+L135-M135</f>
        <v>0</v>
      </c>
      <c r="O135" s="1154">
        <f aca="true" t="shared" si="25" ref="O135:O146">G135+K135</f>
        <v>737000</v>
      </c>
      <c r="P135" s="1155">
        <f aca="true" t="shared" si="26" ref="P135:P146">J135+N135</f>
        <v>737000</v>
      </c>
    </row>
    <row r="136" spans="1:16" ht="39" customHeight="1">
      <c r="A136" s="625" t="s">
        <v>393</v>
      </c>
      <c r="B136" s="595" t="s">
        <v>390</v>
      </c>
      <c r="C136" s="691" t="s">
        <v>391</v>
      </c>
      <c r="D136" s="870">
        <v>112</v>
      </c>
      <c r="E136" s="464">
        <v>611200</v>
      </c>
      <c r="F136" s="943" t="s">
        <v>514</v>
      </c>
      <c r="G136" s="1154">
        <v>167500</v>
      </c>
      <c r="H136" s="1154"/>
      <c r="I136" s="1154"/>
      <c r="J136" s="1154">
        <f t="shared" si="23"/>
        <v>167500</v>
      </c>
      <c r="K136" s="1154">
        <v>0</v>
      </c>
      <c r="L136" s="1154"/>
      <c r="M136" s="1154"/>
      <c r="N136" s="1154">
        <f t="shared" si="24"/>
        <v>0</v>
      </c>
      <c r="O136" s="1154">
        <f t="shared" si="25"/>
        <v>167500</v>
      </c>
      <c r="P136" s="1155">
        <f t="shared" si="26"/>
        <v>167500</v>
      </c>
    </row>
    <row r="137" spans="1:16" ht="35.25" customHeight="1">
      <c r="A137" s="625" t="s">
        <v>393</v>
      </c>
      <c r="B137" s="595" t="s">
        <v>390</v>
      </c>
      <c r="C137" s="691" t="s">
        <v>391</v>
      </c>
      <c r="D137" s="870">
        <v>112</v>
      </c>
      <c r="E137" s="464">
        <v>612000</v>
      </c>
      <c r="F137" s="943" t="s">
        <v>889</v>
      </c>
      <c r="G137" s="1154">
        <v>88000</v>
      </c>
      <c r="H137" s="1154"/>
      <c r="I137" s="1154"/>
      <c r="J137" s="1154">
        <f t="shared" si="23"/>
        <v>88000</v>
      </c>
      <c r="K137" s="1154">
        <v>0</v>
      </c>
      <c r="L137" s="1154"/>
      <c r="M137" s="1154"/>
      <c r="N137" s="1154">
        <f t="shared" si="24"/>
        <v>0</v>
      </c>
      <c r="O137" s="1154">
        <f t="shared" si="25"/>
        <v>88000</v>
      </c>
      <c r="P137" s="1155">
        <f t="shared" si="26"/>
        <v>88000</v>
      </c>
    </row>
    <row r="138" spans="1:16" ht="36.75" customHeight="1">
      <c r="A138" s="1311" t="s">
        <v>393</v>
      </c>
      <c r="B138" s="1312" t="s">
        <v>390</v>
      </c>
      <c r="C138" s="1336" t="s">
        <v>391</v>
      </c>
      <c r="D138" s="1341">
        <v>112</v>
      </c>
      <c r="E138" s="1317">
        <v>613100</v>
      </c>
      <c r="F138" s="1318" t="s">
        <v>515</v>
      </c>
      <c r="G138" s="1315">
        <v>4000</v>
      </c>
      <c r="H138" s="1315"/>
      <c r="I138" s="1315">
        <v>1000</v>
      </c>
      <c r="J138" s="1315">
        <f t="shared" si="23"/>
        <v>3000</v>
      </c>
      <c r="K138" s="1315">
        <v>0</v>
      </c>
      <c r="L138" s="1315"/>
      <c r="M138" s="1315"/>
      <c r="N138" s="1315">
        <f t="shared" si="24"/>
        <v>0</v>
      </c>
      <c r="O138" s="1315">
        <f t="shared" si="25"/>
        <v>4000</v>
      </c>
      <c r="P138" s="1316">
        <f t="shared" si="26"/>
        <v>3000</v>
      </c>
    </row>
    <row r="139" spans="1:16" ht="35.25" customHeight="1">
      <c r="A139" s="625" t="s">
        <v>393</v>
      </c>
      <c r="B139" s="595" t="s">
        <v>390</v>
      </c>
      <c r="C139" s="691" t="s">
        <v>391</v>
      </c>
      <c r="D139" s="870">
        <v>112</v>
      </c>
      <c r="E139" s="596">
        <v>613310</v>
      </c>
      <c r="F139" s="465" t="s">
        <v>616</v>
      </c>
      <c r="G139" s="1154">
        <v>9000</v>
      </c>
      <c r="H139" s="1154"/>
      <c r="I139" s="1154"/>
      <c r="J139" s="1154">
        <f t="shared" si="23"/>
        <v>9000</v>
      </c>
      <c r="K139" s="1154">
        <v>0</v>
      </c>
      <c r="L139" s="1154"/>
      <c r="M139" s="1154"/>
      <c r="N139" s="1154">
        <f t="shared" si="24"/>
        <v>0</v>
      </c>
      <c r="O139" s="1154">
        <f t="shared" si="25"/>
        <v>9000</v>
      </c>
      <c r="P139" s="1155">
        <f t="shared" si="26"/>
        <v>9000</v>
      </c>
    </row>
    <row r="140" spans="1:16" ht="34.5" customHeight="1">
      <c r="A140" s="428" t="s">
        <v>393</v>
      </c>
      <c r="B140" s="429" t="s">
        <v>390</v>
      </c>
      <c r="C140" s="430" t="s">
        <v>391</v>
      </c>
      <c r="D140" s="461">
        <v>112</v>
      </c>
      <c r="E140" s="435">
        <v>613400</v>
      </c>
      <c r="F140" s="468" t="s">
        <v>501</v>
      </c>
      <c r="G140" s="1154">
        <v>13000</v>
      </c>
      <c r="H140" s="1154"/>
      <c r="I140" s="1154"/>
      <c r="J140" s="1154">
        <f t="shared" si="23"/>
        <v>13000</v>
      </c>
      <c r="K140" s="1154">
        <v>0</v>
      </c>
      <c r="L140" s="1154"/>
      <c r="M140" s="1154"/>
      <c r="N140" s="1154">
        <f t="shared" si="24"/>
        <v>0</v>
      </c>
      <c r="O140" s="1154">
        <f t="shared" si="25"/>
        <v>13000</v>
      </c>
      <c r="P140" s="1155">
        <f t="shared" si="26"/>
        <v>13000</v>
      </c>
    </row>
    <row r="141" spans="1:16" ht="35.25" customHeight="1">
      <c r="A141" s="428" t="s">
        <v>393</v>
      </c>
      <c r="B141" s="429" t="s">
        <v>390</v>
      </c>
      <c r="C141" s="430" t="s">
        <v>391</v>
      </c>
      <c r="D141" s="461">
        <v>112</v>
      </c>
      <c r="E141" s="435">
        <v>613720</v>
      </c>
      <c r="F141" s="468" t="s">
        <v>530</v>
      </c>
      <c r="G141" s="1154">
        <v>2000</v>
      </c>
      <c r="H141" s="1154"/>
      <c r="I141" s="1154"/>
      <c r="J141" s="1154">
        <f t="shared" si="23"/>
        <v>2000</v>
      </c>
      <c r="K141" s="1154">
        <v>0</v>
      </c>
      <c r="L141" s="1154"/>
      <c r="M141" s="1154"/>
      <c r="N141" s="1154">
        <f t="shared" si="24"/>
        <v>0</v>
      </c>
      <c r="O141" s="1154">
        <f t="shared" si="25"/>
        <v>2000</v>
      </c>
      <c r="P141" s="1155">
        <f t="shared" si="26"/>
        <v>2000</v>
      </c>
    </row>
    <row r="142" spans="1:16" ht="38.25" customHeight="1">
      <c r="A142" s="625" t="s">
        <v>393</v>
      </c>
      <c r="B142" s="595" t="s">
        <v>390</v>
      </c>
      <c r="C142" s="691" t="s">
        <v>391</v>
      </c>
      <c r="D142" s="870">
        <v>112</v>
      </c>
      <c r="E142" s="464">
        <v>613820</v>
      </c>
      <c r="F142" s="627" t="s">
        <v>33</v>
      </c>
      <c r="G142" s="1154">
        <v>31000</v>
      </c>
      <c r="H142" s="1154"/>
      <c r="I142" s="1154"/>
      <c r="J142" s="1154">
        <f t="shared" si="23"/>
        <v>31000</v>
      </c>
      <c r="K142" s="1154">
        <v>0</v>
      </c>
      <c r="L142" s="1154"/>
      <c r="M142" s="1154"/>
      <c r="N142" s="1154">
        <f t="shared" si="24"/>
        <v>0</v>
      </c>
      <c r="O142" s="1154">
        <f t="shared" si="25"/>
        <v>31000</v>
      </c>
      <c r="P142" s="1155">
        <f t="shared" si="26"/>
        <v>31000</v>
      </c>
    </row>
    <row r="143" spans="1:16" ht="35.25" customHeight="1">
      <c r="A143" s="625" t="s">
        <v>393</v>
      </c>
      <c r="B143" s="595" t="s">
        <v>390</v>
      </c>
      <c r="C143" s="691" t="s">
        <v>391</v>
      </c>
      <c r="D143" s="870">
        <v>112</v>
      </c>
      <c r="E143" s="464">
        <v>613910</v>
      </c>
      <c r="F143" s="627" t="s">
        <v>502</v>
      </c>
      <c r="G143" s="1154">
        <v>20000</v>
      </c>
      <c r="H143" s="1154"/>
      <c r="I143" s="1154"/>
      <c r="J143" s="1154">
        <f t="shared" si="23"/>
        <v>20000</v>
      </c>
      <c r="K143" s="1154">
        <v>0</v>
      </c>
      <c r="L143" s="1154"/>
      <c r="M143" s="1154"/>
      <c r="N143" s="1154">
        <f t="shared" si="24"/>
        <v>0</v>
      </c>
      <c r="O143" s="1154">
        <f t="shared" si="25"/>
        <v>20000</v>
      </c>
      <c r="P143" s="1155">
        <f t="shared" si="26"/>
        <v>20000</v>
      </c>
    </row>
    <row r="144" spans="1:16" ht="35.25" customHeight="1">
      <c r="A144" s="625" t="s">
        <v>393</v>
      </c>
      <c r="B144" s="595" t="s">
        <v>390</v>
      </c>
      <c r="C144" s="691" t="s">
        <v>391</v>
      </c>
      <c r="D144" s="870">
        <v>112</v>
      </c>
      <c r="E144" s="464">
        <v>613934</v>
      </c>
      <c r="F144" s="628" t="s">
        <v>540</v>
      </c>
      <c r="G144" s="1154">
        <v>9000</v>
      </c>
      <c r="H144" s="1154"/>
      <c r="I144" s="1154"/>
      <c r="J144" s="1154">
        <f t="shared" si="23"/>
        <v>9000</v>
      </c>
      <c r="K144" s="1154">
        <v>0</v>
      </c>
      <c r="L144" s="1154"/>
      <c r="M144" s="1154"/>
      <c r="N144" s="1154">
        <f t="shared" si="24"/>
        <v>0</v>
      </c>
      <c r="O144" s="1154">
        <f t="shared" si="25"/>
        <v>9000</v>
      </c>
      <c r="P144" s="1155">
        <f t="shared" si="26"/>
        <v>9000</v>
      </c>
    </row>
    <row r="145" spans="1:16" ht="39" customHeight="1">
      <c r="A145" s="625" t="s">
        <v>393</v>
      </c>
      <c r="B145" s="595" t="s">
        <v>390</v>
      </c>
      <c r="C145" s="691" t="s">
        <v>391</v>
      </c>
      <c r="D145" s="870">
        <v>112</v>
      </c>
      <c r="E145" s="580" t="s">
        <v>621</v>
      </c>
      <c r="F145" s="627" t="s">
        <v>517</v>
      </c>
      <c r="G145" s="1154">
        <v>2000</v>
      </c>
      <c r="H145" s="1154"/>
      <c r="I145" s="1154"/>
      <c r="J145" s="1154">
        <f t="shared" si="23"/>
        <v>2000</v>
      </c>
      <c r="K145" s="1154">
        <v>0</v>
      </c>
      <c r="L145" s="1154"/>
      <c r="M145" s="1154"/>
      <c r="N145" s="1154">
        <f t="shared" si="24"/>
        <v>0</v>
      </c>
      <c r="O145" s="1154">
        <f t="shared" si="25"/>
        <v>2000</v>
      </c>
      <c r="P145" s="1155">
        <f t="shared" si="26"/>
        <v>2000</v>
      </c>
    </row>
    <row r="146" spans="1:16" ht="48" customHeight="1">
      <c r="A146" s="570" t="s">
        <v>393</v>
      </c>
      <c r="B146" s="571" t="s">
        <v>390</v>
      </c>
      <c r="C146" s="572" t="s">
        <v>391</v>
      </c>
      <c r="D146" s="568">
        <v>133</v>
      </c>
      <c r="E146" s="506">
        <v>614811</v>
      </c>
      <c r="F146" s="1062" t="s">
        <v>237</v>
      </c>
      <c r="G146" s="1156">
        <v>149000</v>
      </c>
      <c r="H146" s="1156"/>
      <c r="I146" s="1156"/>
      <c r="J146" s="1156">
        <f t="shared" si="23"/>
        <v>149000</v>
      </c>
      <c r="K146" s="1156">
        <v>0</v>
      </c>
      <c r="L146" s="1156"/>
      <c r="M146" s="1156"/>
      <c r="N146" s="1156">
        <f t="shared" si="24"/>
        <v>0</v>
      </c>
      <c r="O146" s="1156">
        <f t="shared" si="25"/>
        <v>149000</v>
      </c>
      <c r="P146" s="1157">
        <f t="shared" si="26"/>
        <v>149000</v>
      </c>
    </row>
    <row r="147" spans="1:16" ht="39" customHeight="1">
      <c r="A147" s="612"/>
      <c r="B147" s="613"/>
      <c r="C147" s="871"/>
      <c r="D147" s="872"/>
      <c r="E147" s="635">
        <v>820000</v>
      </c>
      <c r="F147" s="636" t="s">
        <v>527</v>
      </c>
      <c r="G147" s="1158"/>
      <c r="H147" s="1158"/>
      <c r="I147" s="1158"/>
      <c r="J147" s="1158"/>
      <c r="K147" s="1158"/>
      <c r="L147" s="1158"/>
      <c r="M147" s="1158"/>
      <c r="N147" s="1158"/>
      <c r="O147" s="1158"/>
      <c r="P147" s="1159"/>
    </row>
    <row r="148" spans="1:16" ht="39" customHeight="1">
      <c r="A148" s="1311" t="s">
        <v>393</v>
      </c>
      <c r="B148" s="1312" t="s">
        <v>390</v>
      </c>
      <c r="C148" s="1336" t="s">
        <v>391</v>
      </c>
      <c r="D148" s="1341">
        <v>112</v>
      </c>
      <c r="E148" s="1313">
        <v>821300</v>
      </c>
      <c r="F148" s="1325" t="s">
        <v>528</v>
      </c>
      <c r="G148" s="1315">
        <v>10673.92</v>
      </c>
      <c r="H148" s="1315"/>
      <c r="I148" s="1315">
        <v>10000</v>
      </c>
      <c r="J148" s="1315">
        <f>G148+H148-I148</f>
        <v>673.9200000000001</v>
      </c>
      <c r="K148" s="1315">
        <v>0</v>
      </c>
      <c r="L148" s="1315"/>
      <c r="M148" s="1315"/>
      <c r="N148" s="1315">
        <f>K148+L148-M148</f>
        <v>0</v>
      </c>
      <c r="O148" s="1315">
        <f>G148+K148</f>
        <v>10673.92</v>
      </c>
      <c r="P148" s="1316">
        <f>J148+N148</f>
        <v>673.9200000000001</v>
      </c>
    </row>
    <row r="149" spans="1:16" ht="42.75" customHeight="1" thickBot="1">
      <c r="A149" s="560"/>
      <c r="B149" s="561"/>
      <c r="C149" s="561"/>
      <c r="D149" s="453"/>
      <c r="E149" s="453"/>
      <c r="F149" s="562" t="s">
        <v>531</v>
      </c>
      <c r="G149" s="1160">
        <f aca="true" t="shared" si="27" ref="G149:P149">SUM(G135:G148)</f>
        <v>1242173.92</v>
      </c>
      <c r="H149" s="1160">
        <f t="shared" si="27"/>
        <v>0</v>
      </c>
      <c r="I149" s="1160">
        <f t="shared" si="27"/>
        <v>11000</v>
      </c>
      <c r="J149" s="1160">
        <f t="shared" si="27"/>
        <v>1231173.92</v>
      </c>
      <c r="K149" s="1160">
        <f t="shared" si="27"/>
        <v>0</v>
      </c>
      <c r="L149" s="1160">
        <f t="shared" si="27"/>
        <v>0</v>
      </c>
      <c r="M149" s="1160">
        <f t="shared" si="27"/>
        <v>0</v>
      </c>
      <c r="N149" s="1160">
        <f t="shared" si="27"/>
        <v>0</v>
      </c>
      <c r="O149" s="1161">
        <f t="shared" si="27"/>
        <v>1242173.92</v>
      </c>
      <c r="P149" s="1162">
        <f t="shared" si="27"/>
        <v>1231173.92</v>
      </c>
    </row>
    <row r="150" spans="1:16" ht="42.75" customHeight="1">
      <c r="A150" s="417"/>
      <c r="B150" s="418"/>
      <c r="C150" s="418"/>
      <c r="D150" s="420"/>
      <c r="E150" s="420"/>
      <c r="F150" s="518" t="s">
        <v>1142</v>
      </c>
      <c r="G150" s="1175"/>
      <c r="H150" s="1175"/>
      <c r="I150" s="1175"/>
      <c r="J150" s="1175"/>
      <c r="K150" s="1175"/>
      <c r="L150" s="1175"/>
      <c r="M150" s="1175"/>
      <c r="N150" s="1175"/>
      <c r="O150" s="1175"/>
      <c r="P150" s="1176"/>
    </row>
    <row r="151" spans="1:16" ht="42.75" customHeight="1">
      <c r="A151" s="563"/>
      <c r="B151" s="564"/>
      <c r="C151" s="564"/>
      <c r="D151" s="565"/>
      <c r="E151" s="565"/>
      <c r="F151" s="473" t="s">
        <v>1076</v>
      </c>
      <c r="G151" s="1177"/>
      <c r="H151" s="1177"/>
      <c r="I151" s="1177"/>
      <c r="J151" s="1177"/>
      <c r="K151" s="1177"/>
      <c r="L151" s="1177"/>
      <c r="M151" s="1177"/>
      <c r="N151" s="1177"/>
      <c r="O151" s="1177">
        <v>33</v>
      </c>
      <c r="P151" s="1178"/>
    </row>
    <row r="152" spans="1:16" s="519" customFormat="1" ht="51.75" customHeight="1" thickBot="1">
      <c r="A152" s="563"/>
      <c r="B152" s="564"/>
      <c r="C152" s="564"/>
      <c r="D152" s="565"/>
      <c r="E152" s="565"/>
      <c r="F152" s="515" t="s">
        <v>834</v>
      </c>
      <c r="G152" s="1189"/>
      <c r="H152" s="1189"/>
      <c r="I152" s="1189"/>
      <c r="J152" s="1189"/>
      <c r="K152" s="1189"/>
      <c r="L152" s="1189"/>
      <c r="M152" s="1189"/>
      <c r="N152" s="1189"/>
      <c r="O152" s="1189">
        <v>37</v>
      </c>
      <c r="P152" s="1202"/>
    </row>
    <row r="153" spans="1:16" ht="3" customHeight="1" thickBot="1">
      <c r="A153" s="455"/>
      <c r="B153" s="455"/>
      <c r="C153" s="455"/>
      <c r="D153" s="457"/>
      <c r="E153" s="457"/>
      <c r="F153" s="455"/>
      <c r="G153" s="458"/>
      <c r="H153" s="458"/>
      <c r="I153" s="458"/>
      <c r="J153" s="458"/>
      <c r="K153" s="458"/>
      <c r="L153" s="458"/>
      <c r="M153" s="458"/>
      <c r="N153" s="458"/>
      <c r="O153" s="458"/>
      <c r="P153" s="458"/>
    </row>
    <row r="154" spans="1:16" s="527" customFormat="1" ht="273.75" customHeight="1">
      <c r="A154" s="401" t="s">
        <v>494</v>
      </c>
      <c r="B154" s="402" t="s">
        <v>495</v>
      </c>
      <c r="C154" s="403" t="s">
        <v>687</v>
      </c>
      <c r="D154" s="404" t="s">
        <v>497</v>
      </c>
      <c r="E154" s="404" t="s">
        <v>188</v>
      </c>
      <c r="F154" s="405" t="s">
        <v>496</v>
      </c>
      <c r="G154" s="813" t="s">
        <v>1322</v>
      </c>
      <c r="H154" s="813" t="s">
        <v>1324</v>
      </c>
      <c r="I154" s="813" t="s">
        <v>1325</v>
      </c>
      <c r="J154" s="813" t="s">
        <v>1326</v>
      </c>
      <c r="K154" s="813" t="s">
        <v>1323</v>
      </c>
      <c r="L154" s="813" t="s">
        <v>1327</v>
      </c>
      <c r="M154" s="813" t="s">
        <v>1328</v>
      </c>
      <c r="N154" s="813" t="s">
        <v>1329</v>
      </c>
      <c r="O154" s="1278" t="s">
        <v>1321</v>
      </c>
      <c r="P154" s="1149" t="s">
        <v>1330</v>
      </c>
    </row>
    <row r="155" spans="1:16" ht="20.25">
      <c r="A155" s="1533">
        <v>0</v>
      </c>
      <c r="B155" s="1534"/>
      <c r="C155" s="1534"/>
      <c r="D155" s="409">
        <v>1</v>
      </c>
      <c r="E155" s="409">
        <v>2</v>
      </c>
      <c r="F155" s="410">
        <v>3</v>
      </c>
      <c r="G155" s="1150">
        <v>4</v>
      </c>
      <c r="H155" s="1150">
        <v>5</v>
      </c>
      <c r="I155" s="1150">
        <v>6</v>
      </c>
      <c r="J155" s="1150">
        <v>7</v>
      </c>
      <c r="K155" s="1150">
        <v>8</v>
      </c>
      <c r="L155" s="1150">
        <v>9</v>
      </c>
      <c r="M155" s="1150">
        <v>10</v>
      </c>
      <c r="N155" s="1150">
        <v>11</v>
      </c>
      <c r="O155" s="1150">
        <v>12</v>
      </c>
      <c r="P155" s="1151">
        <v>13</v>
      </c>
    </row>
    <row r="156" spans="1:16" ht="75" customHeight="1">
      <c r="A156" s="483" t="s">
        <v>394</v>
      </c>
      <c r="B156" s="484"/>
      <c r="C156" s="484"/>
      <c r="D156" s="413"/>
      <c r="E156" s="413"/>
      <c r="F156" s="566" t="s">
        <v>1068</v>
      </c>
      <c r="G156" s="415"/>
      <c r="H156" s="415"/>
      <c r="I156" s="415"/>
      <c r="J156" s="415"/>
      <c r="K156" s="415"/>
      <c r="L156" s="415"/>
      <c r="M156" s="415"/>
      <c r="N156" s="415"/>
      <c r="O156" s="415"/>
      <c r="P156" s="1152"/>
    </row>
    <row r="157" spans="1:16" ht="77.25" customHeight="1">
      <c r="A157" s="488" t="s">
        <v>394</v>
      </c>
      <c r="B157" s="489" t="s">
        <v>390</v>
      </c>
      <c r="C157" s="489"/>
      <c r="D157" s="420"/>
      <c r="E157" s="420"/>
      <c r="F157" s="492" t="s">
        <v>1069</v>
      </c>
      <c r="G157" s="422"/>
      <c r="H157" s="422"/>
      <c r="I157" s="422"/>
      <c r="J157" s="422"/>
      <c r="K157" s="422"/>
      <c r="L157" s="422"/>
      <c r="M157" s="422"/>
      <c r="N157" s="422"/>
      <c r="O157" s="422"/>
      <c r="P157" s="1153"/>
    </row>
    <row r="158" spans="1:16" ht="41.25" customHeight="1">
      <c r="A158" s="424"/>
      <c r="B158" s="425"/>
      <c r="C158" s="425"/>
      <c r="D158" s="419"/>
      <c r="E158" s="426">
        <v>610000</v>
      </c>
      <c r="F158" s="427" t="s">
        <v>513</v>
      </c>
      <c r="G158" s="422"/>
      <c r="H158" s="422"/>
      <c r="I158" s="422"/>
      <c r="J158" s="422"/>
      <c r="K158" s="422"/>
      <c r="L158" s="422"/>
      <c r="M158" s="422"/>
      <c r="N158" s="422"/>
      <c r="O158" s="422"/>
      <c r="P158" s="1153"/>
    </row>
    <row r="159" spans="1:19" ht="38.25" customHeight="1">
      <c r="A159" s="625" t="s">
        <v>394</v>
      </c>
      <c r="B159" s="595" t="s">
        <v>390</v>
      </c>
      <c r="C159" s="691" t="s">
        <v>391</v>
      </c>
      <c r="D159" s="870">
        <v>491</v>
      </c>
      <c r="E159" s="596">
        <v>611100</v>
      </c>
      <c r="F159" s="626" t="s">
        <v>962</v>
      </c>
      <c r="G159" s="1154">
        <v>363300</v>
      </c>
      <c r="H159" s="1154"/>
      <c r="I159" s="1154"/>
      <c r="J159" s="1154">
        <f aca="true" t="shared" si="28" ref="J159:J188">G159+H159-I159</f>
        <v>363300</v>
      </c>
      <c r="K159" s="1154">
        <v>0</v>
      </c>
      <c r="L159" s="1154"/>
      <c r="M159" s="1154"/>
      <c r="N159" s="1154">
        <f aca="true" t="shared" si="29" ref="N159:N188">K159+L159-M159</f>
        <v>0</v>
      </c>
      <c r="O159" s="1154">
        <f aca="true" t="shared" si="30" ref="O159:O188">G159+K159</f>
        <v>363300</v>
      </c>
      <c r="P159" s="1155">
        <f aca="true" t="shared" si="31" ref="P159:P188">J159+N159</f>
        <v>363300</v>
      </c>
      <c r="R159" s="1546"/>
      <c r="S159" s="1547"/>
    </row>
    <row r="160" spans="1:19" ht="36.75" customHeight="1">
      <c r="A160" s="625" t="s">
        <v>394</v>
      </c>
      <c r="B160" s="595" t="s">
        <v>390</v>
      </c>
      <c r="C160" s="691" t="s">
        <v>391</v>
      </c>
      <c r="D160" s="870">
        <v>491</v>
      </c>
      <c r="E160" s="596">
        <v>611200</v>
      </c>
      <c r="F160" s="598" t="s">
        <v>514</v>
      </c>
      <c r="G160" s="1154">
        <v>68700</v>
      </c>
      <c r="H160" s="1154"/>
      <c r="I160" s="1154"/>
      <c r="J160" s="1154">
        <f t="shared" si="28"/>
        <v>68700</v>
      </c>
      <c r="K160" s="1154">
        <v>0</v>
      </c>
      <c r="L160" s="1154"/>
      <c r="M160" s="1154"/>
      <c r="N160" s="1154">
        <f t="shared" si="29"/>
        <v>0</v>
      </c>
      <c r="O160" s="1154">
        <f t="shared" si="30"/>
        <v>68700</v>
      </c>
      <c r="P160" s="1155">
        <f t="shared" si="31"/>
        <v>68700</v>
      </c>
      <c r="R160" s="1546"/>
      <c r="S160" s="1547"/>
    </row>
    <row r="161" spans="1:19" ht="37.5" customHeight="1">
      <c r="A161" s="625" t="s">
        <v>394</v>
      </c>
      <c r="B161" s="595" t="s">
        <v>390</v>
      </c>
      <c r="C161" s="691" t="s">
        <v>391</v>
      </c>
      <c r="D161" s="847">
        <v>491</v>
      </c>
      <c r="E161" s="464">
        <v>612000</v>
      </c>
      <c r="F161" s="943" t="s">
        <v>889</v>
      </c>
      <c r="G161" s="1154">
        <v>38400</v>
      </c>
      <c r="H161" s="1154"/>
      <c r="I161" s="1154"/>
      <c r="J161" s="1154">
        <f t="shared" si="28"/>
        <v>38400</v>
      </c>
      <c r="K161" s="1154">
        <v>0</v>
      </c>
      <c r="L161" s="1154"/>
      <c r="M161" s="1154"/>
      <c r="N161" s="1154">
        <f t="shared" si="29"/>
        <v>0</v>
      </c>
      <c r="O161" s="1154">
        <f t="shared" si="30"/>
        <v>38400</v>
      </c>
      <c r="P161" s="1155">
        <f t="shared" si="31"/>
        <v>38400</v>
      </c>
      <c r="R161" s="1546"/>
      <c r="S161" s="1547"/>
    </row>
    <row r="162" spans="1:19" ht="37.5" customHeight="1">
      <c r="A162" s="625" t="s">
        <v>394</v>
      </c>
      <c r="B162" s="595" t="s">
        <v>390</v>
      </c>
      <c r="C162" s="691" t="s">
        <v>391</v>
      </c>
      <c r="D162" s="847">
        <v>491</v>
      </c>
      <c r="E162" s="464">
        <v>613100</v>
      </c>
      <c r="F162" s="598" t="s">
        <v>515</v>
      </c>
      <c r="G162" s="1154">
        <v>2000</v>
      </c>
      <c r="H162" s="1154"/>
      <c r="I162" s="1154"/>
      <c r="J162" s="1154">
        <f t="shared" si="28"/>
        <v>2000</v>
      </c>
      <c r="K162" s="1154">
        <v>0</v>
      </c>
      <c r="L162" s="1154"/>
      <c r="M162" s="1154"/>
      <c r="N162" s="1154">
        <f t="shared" si="29"/>
        <v>0</v>
      </c>
      <c r="O162" s="1154">
        <f t="shared" si="30"/>
        <v>2000</v>
      </c>
      <c r="P162" s="1155">
        <f t="shared" si="31"/>
        <v>2000</v>
      </c>
      <c r="R162" s="1546"/>
      <c r="S162" s="1547"/>
    </row>
    <row r="163" spans="1:19" ht="37.5" customHeight="1">
      <c r="A163" s="625" t="s">
        <v>394</v>
      </c>
      <c r="B163" s="595" t="s">
        <v>390</v>
      </c>
      <c r="C163" s="691" t="s">
        <v>391</v>
      </c>
      <c r="D163" s="847">
        <v>491</v>
      </c>
      <c r="E163" s="464">
        <v>613310</v>
      </c>
      <c r="F163" s="465" t="s">
        <v>616</v>
      </c>
      <c r="G163" s="1154">
        <v>4000</v>
      </c>
      <c r="H163" s="1154"/>
      <c r="I163" s="1154"/>
      <c r="J163" s="1154">
        <f t="shared" si="28"/>
        <v>4000</v>
      </c>
      <c r="K163" s="1154">
        <v>0</v>
      </c>
      <c r="L163" s="1154"/>
      <c r="M163" s="1154"/>
      <c r="N163" s="1154">
        <f t="shared" si="29"/>
        <v>0</v>
      </c>
      <c r="O163" s="1154">
        <f t="shared" si="30"/>
        <v>4000</v>
      </c>
      <c r="P163" s="1155">
        <f t="shared" si="31"/>
        <v>4000</v>
      </c>
      <c r="R163" s="1546"/>
      <c r="S163" s="1547"/>
    </row>
    <row r="164" spans="1:19" ht="37.5" customHeight="1">
      <c r="A164" s="625" t="s">
        <v>394</v>
      </c>
      <c r="B164" s="595" t="s">
        <v>390</v>
      </c>
      <c r="C164" s="691" t="s">
        <v>391</v>
      </c>
      <c r="D164" s="847">
        <v>491</v>
      </c>
      <c r="E164" s="464">
        <v>613400</v>
      </c>
      <c r="F164" s="598" t="s">
        <v>501</v>
      </c>
      <c r="G164" s="1154">
        <v>3000</v>
      </c>
      <c r="H164" s="1154"/>
      <c r="I164" s="1154"/>
      <c r="J164" s="1154">
        <f t="shared" si="28"/>
        <v>3000</v>
      </c>
      <c r="K164" s="1154">
        <v>0</v>
      </c>
      <c r="L164" s="1154"/>
      <c r="M164" s="1154"/>
      <c r="N164" s="1154">
        <f t="shared" si="29"/>
        <v>0</v>
      </c>
      <c r="O164" s="1154">
        <f t="shared" si="30"/>
        <v>3000</v>
      </c>
      <c r="P164" s="1155">
        <f t="shared" si="31"/>
        <v>3000</v>
      </c>
      <c r="R164" s="1546"/>
      <c r="S164" s="1547"/>
    </row>
    <row r="165" spans="1:19" ht="37.5" customHeight="1">
      <c r="A165" s="625" t="s">
        <v>394</v>
      </c>
      <c r="B165" s="595" t="s">
        <v>390</v>
      </c>
      <c r="C165" s="691" t="s">
        <v>391</v>
      </c>
      <c r="D165" s="847">
        <v>491</v>
      </c>
      <c r="E165" s="464">
        <v>613720</v>
      </c>
      <c r="F165" s="598" t="s">
        <v>530</v>
      </c>
      <c r="G165" s="1154">
        <v>1000</v>
      </c>
      <c r="H165" s="1154"/>
      <c r="I165" s="1154"/>
      <c r="J165" s="1154">
        <f t="shared" si="28"/>
        <v>1000</v>
      </c>
      <c r="K165" s="1154">
        <v>0</v>
      </c>
      <c r="L165" s="1154"/>
      <c r="M165" s="1154"/>
      <c r="N165" s="1154">
        <f t="shared" si="29"/>
        <v>0</v>
      </c>
      <c r="O165" s="1154">
        <f t="shared" si="30"/>
        <v>1000</v>
      </c>
      <c r="P165" s="1155">
        <f t="shared" si="31"/>
        <v>1000</v>
      </c>
      <c r="R165" s="1546"/>
      <c r="S165" s="1547"/>
    </row>
    <row r="166" spans="1:19" ht="37.5" customHeight="1">
      <c r="A166" s="1311" t="s">
        <v>394</v>
      </c>
      <c r="B166" s="1312" t="s">
        <v>390</v>
      </c>
      <c r="C166" s="1336" t="s">
        <v>391</v>
      </c>
      <c r="D166" s="1371">
        <v>491</v>
      </c>
      <c r="E166" s="1317">
        <v>613910</v>
      </c>
      <c r="F166" s="1343" t="s">
        <v>502</v>
      </c>
      <c r="G166" s="1315">
        <v>4000</v>
      </c>
      <c r="H166" s="1315">
        <v>5000</v>
      </c>
      <c r="I166" s="1315"/>
      <c r="J166" s="1315">
        <f t="shared" si="28"/>
        <v>9000</v>
      </c>
      <c r="K166" s="1315"/>
      <c r="L166" s="1315"/>
      <c r="M166" s="1315"/>
      <c r="N166" s="1315">
        <f t="shared" si="29"/>
        <v>0</v>
      </c>
      <c r="O166" s="1315">
        <f t="shared" si="30"/>
        <v>4000</v>
      </c>
      <c r="P166" s="1316">
        <f t="shared" si="31"/>
        <v>9000</v>
      </c>
      <c r="R166" s="1546"/>
      <c r="S166" s="1547"/>
    </row>
    <row r="167" spans="1:19" ht="37.5" customHeight="1">
      <c r="A167" s="625" t="s">
        <v>394</v>
      </c>
      <c r="B167" s="595" t="s">
        <v>390</v>
      </c>
      <c r="C167" s="691" t="s">
        <v>391</v>
      </c>
      <c r="D167" s="847">
        <v>491</v>
      </c>
      <c r="E167" s="464">
        <v>613934</v>
      </c>
      <c r="F167" s="628" t="s">
        <v>540</v>
      </c>
      <c r="G167" s="1154">
        <v>11961.5</v>
      </c>
      <c r="H167" s="1154"/>
      <c r="I167" s="1154"/>
      <c r="J167" s="1154">
        <f t="shared" si="28"/>
        <v>11961.5</v>
      </c>
      <c r="K167" s="1154">
        <v>0</v>
      </c>
      <c r="L167" s="1154"/>
      <c r="M167" s="1154"/>
      <c r="N167" s="1154">
        <f t="shared" si="29"/>
        <v>0</v>
      </c>
      <c r="O167" s="1154">
        <f t="shared" si="30"/>
        <v>11961.5</v>
      </c>
      <c r="P167" s="1155">
        <f t="shared" si="31"/>
        <v>11961.5</v>
      </c>
      <c r="R167" s="1546"/>
      <c r="S167" s="1547"/>
    </row>
    <row r="168" spans="1:19" ht="37.5" customHeight="1">
      <c r="A168" s="625" t="s">
        <v>394</v>
      </c>
      <c r="B168" s="595" t="s">
        <v>390</v>
      </c>
      <c r="C168" s="691" t="s">
        <v>391</v>
      </c>
      <c r="D168" s="579">
        <v>491</v>
      </c>
      <c r="E168" s="580" t="s">
        <v>621</v>
      </c>
      <c r="F168" s="578" t="s">
        <v>532</v>
      </c>
      <c r="G168" s="1154">
        <v>1500</v>
      </c>
      <c r="H168" s="1154"/>
      <c r="I168" s="1154"/>
      <c r="J168" s="1154">
        <f t="shared" si="28"/>
        <v>1500</v>
      </c>
      <c r="K168" s="1154">
        <v>0</v>
      </c>
      <c r="L168" s="1154"/>
      <c r="M168" s="1154"/>
      <c r="N168" s="1154">
        <f t="shared" si="29"/>
        <v>0</v>
      </c>
      <c r="O168" s="1154">
        <f t="shared" si="30"/>
        <v>1500</v>
      </c>
      <c r="P168" s="1155">
        <f t="shared" si="31"/>
        <v>1500</v>
      </c>
      <c r="R168" s="1546"/>
      <c r="S168" s="1547"/>
    </row>
    <row r="169" spans="1:19" ht="53.25" customHeight="1">
      <c r="A169" s="570" t="s">
        <v>394</v>
      </c>
      <c r="B169" s="571" t="s">
        <v>390</v>
      </c>
      <c r="C169" s="572" t="s">
        <v>391</v>
      </c>
      <c r="D169" s="568">
        <v>821</v>
      </c>
      <c r="E169" s="506" t="s">
        <v>622</v>
      </c>
      <c r="F169" s="569" t="s">
        <v>389</v>
      </c>
      <c r="G169" s="1156">
        <v>0</v>
      </c>
      <c r="H169" s="1156"/>
      <c r="I169" s="1156"/>
      <c r="J169" s="1154">
        <f t="shared" si="28"/>
        <v>0</v>
      </c>
      <c r="K169" s="1156">
        <v>0</v>
      </c>
      <c r="L169" s="1156"/>
      <c r="M169" s="1156"/>
      <c r="N169" s="1154">
        <f t="shared" si="29"/>
        <v>0</v>
      </c>
      <c r="O169" s="1156">
        <f t="shared" si="30"/>
        <v>0</v>
      </c>
      <c r="P169" s="1155">
        <f t="shared" si="31"/>
        <v>0</v>
      </c>
      <c r="R169" s="1546"/>
      <c r="S169" s="1547"/>
    </row>
    <row r="170" spans="1:19" ht="51.75" customHeight="1">
      <c r="A170" s="570" t="s">
        <v>394</v>
      </c>
      <c r="B170" s="571" t="s">
        <v>390</v>
      </c>
      <c r="C170" s="572" t="s">
        <v>391</v>
      </c>
      <c r="D170" s="568">
        <v>821</v>
      </c>
      <c r="E170" s="506" t="s">
        <v>313</v>
      </c>
      <c r="F170" s="507" t="s">
        <v>45</v>
      </c>
      <c r="G170" s="1156">
        <v>0</v>
      </c>
      <c r="H170" s="1156"/>
      <c r="I170" s="1156"/>
      <c r="J170" s="1154">
        <f t="shared" si="28"/>
        <v>0</v>
      </c>
      <c r="K170" s="1156">
        <v>0</v>
      </c>
      <c r="L170" s="1156"/>
      <c r="M170" s="1156"/>
      <c r="N170" s="1154">
        <f t="shared" si="29"/>
        <v>0</v>
      </c>
      <c r="O170" s="1156">
        <f t="shared" si="30"/>
        <v>0</v>
      </c>
      <c r="P170" s="1155">
        <f t="shared" si="31"/>
        <v>0</v>
      </c>
      <c r="R170" s="1546"/>
      <c r="S170" s="1547"/>
    </row>
    <row r="171" spans="1:19" ht="49.5" customHeight="1">
      <c r="A171" s="570" t="s">
        <v>394</v>
      </c>
      <c r="B171" s="571" t="s">
        <v>390</v>
      </c>
      <c r="C171" s="572" t="s">
        <v>391</v>
      </c>
      <c r="D171" s="505">
        <v>981</v>
      </c>
      <c r="E171" s="656">
        <v>614234</v>
      </c>
      <c r="F171" s="569" t="s">
        <v>47</v>
      </c>
      <c r="G171" s="1156">
        <v>0</v>
      </c>
      <c r="H171" s="1156"/>
      <c r="I171" s="1156"/>
      <c r="J171" s="1154">
        <f t="shared" si="28"/>
        <v>0</v>
      </c>
      <c r="K171" s="1156">
        <v>0</v>
      </c>
      <c r="L171" s="1156"/>
      <c r="M171" s="1156"/>
      <c r="N171" s="1154">
        <f t="shared" si="29"/>
        <v>0</v>
      </c>
      <c r="O171" s="1156">
        <f t="shared" si="30"/>
        <v>0</v>
      </c>
      <c r="P171" s="1155">
        <f t="shared" si="31"/>
        <v>0</v>
      </c>
      <c r="R171" s="1546"/>
      <c r="S171" s="1547"/>
    </row>
    <row r="172" spans="1:19" ht="37.5" customHeight="1">
      <c r="A172" s="625" t="s">
        <v>394</v>
      </c>
      <c r="B172" s="595" t="s">
        <v>390</v>
      </c>
      <c r="C172" s="691" t="s">
        <v>391</v>
      </c>
      <c r="D172" s="847">
        <v>1091</v>
      </c>
      <c r="E172" s="464" t="s">
        <v>633</v>
      </c>
      <c r="F172" s="598" t="s">
        <v>304</v>
      </c>
      <c r="G172" s="1154">
        <v>0</v>
      </c>
      <c r="H172" s="1154"/>
      <c r="I172" s="1154"/>
      <c r="J172" s="1154">
        <f t="shared" si="28"/>
        <v>0</v>
      </c>
      <c r="K172" s="1154">
        <v>0</v>
      </c>
      <c r="L172" s="1154"/>
      <c r="M172" s="1154"/>
      <c r="N172" s="1154">
        <f t="shared" si="29"/>
        <v>0</v>
      </c>
      <c r="O172" s="1154">
        <f t="shared" si="30"/>
        <v>0</v>
      </c>
      <c r="P172" s="1155">
        <f t="shared" si="31"/>
        <v>0</v>
      </c>
      <c r="R172" s="1546"/>
      <c r="S172" s="1547"/>
    </row>
    <row r="173" spans="1:19" ht="36.75" customHeight="1">
      <c r="A173" s="570" t="s">
        <v>394</v>
      </c>
      <c r="B173" s="571" t="s">
        <v>390</v>
      </c>
      <c r="C173" s="572" t="s">
        <v>391</v>
      </c>
      <c r="D173" s="505">
        <v>1091</v>
      </c>
      <c r="E173" s="656" t="s">
        <v>634</v>
      </c>
      <c r="F173" s="569" t="s">
        <v>904</v>
      </c>
      <c r="G173" s="1154">
        <v>0</v>
      </c>
      <c r="H173" s="1154"/>
      <c r="I173" s="1154"/>
      <c r="J173" s="1154">
        <f t="shared" si="28"/>
        <v>0</v>
      </c>
      <c r="K173" s="1154">
        <v>0</v>
      </c>
      <c r="L173" s="1154"/>
      <c r="M173" s="1154"/>
      <c r="N173" s="1154">
        <f t="shared" si="29"/>
        <v>0</v>
      </c>
      <c r="O173" s="1154">
        <f t="shared" si="30"/>
        <v>0</v>
      </c>
      <c r="P173" s="1155">
        <f t="shared" si="31"/>
        <v>0</v>
      </c>
      <c r="R173" s="1546"/>
      <c r="S173" s="1547"/>
    </row>
    <row r="174" spans="1:19" ht="36.75" customHeight="1">
      <c r="A174" s="570" t="s">
        <v>394</v>
      </c>
      <c r="B174" s="571" t="s">
        <v>390</v>
      </c>
      <c r="C174" s="572" t="s">
        <v>391</v>
      </c>
      <c r="D174" s="568">
        <v>1091</v>
      </c>
      <c r="E174" s="506" t="s">
        <v>774</v>
      </c>
      <c r="F174" s="569" t="s">
        <v>772</v>
      </c>
      <c r="G174" s="1154">
        <v>0</v>
      </c>
      <c r="H174" s="1154"/>
      <c r="I174" s="1154"/>
      <c r="J174" s="1154">
        <f t="shared" si="28"/>
        <v>0</v>
      </c>
      <c r="K174" s="1154">
        <v>0</v>
      </c>
      <c r="L174" s="1154"/>
      <c r="M174" s="1154"/>
      <c r="N174" s="1154">
        <f t="shared" si="29"/>
        <v>0</v>
      </c>
      <c r="O174" s="1154">
        <f t="shared" si="30"/>
        <v>0</v>
      </c>
      <c r="P174" s="1155">
        <f t="shared" si="31"/>
        <v>0</v>
      </c>
      <c r="R174" s="1546"/>
      <c r="S174" s="1547"/>
    </row>
    <row r="175" spans="1:19" ht="48.75" customHeight="1">
      <c r="A175" s="570" t="s">
        <v>394</v>
      </c>
      <c r="B175" s="571" t="s">
        <v>390</v>
      </c>
      <c r="C175" s="572" t="s">
        <v>391</v>
      </c>
      <c r="D175" s="568">
        <v>1091</v>
      </c>
      <c r="E175" s="506">
        <v>614259</v>
      </c>
      <c r="F175" s="573" t="s">
        <v>761</v>
      </c>
      <c r="G175" s="1156">
        <v>0</v>
      </c>
      <c r="H175" s="1156"/>
      <c r="I175" s="1156"/>
      <c r="J175" s="1154">
        <f t="shared" si="28"/>
        <v>0</v>
      </c>
      <c r="K175" s="1156">
        <v>0</v>
      </c>
      <c r="L175" s="1156"/>
      <c r="M175" s="1156"/>
      <c r="N175" s="1154">
        <f t="shared" si="29"/>
        <v>0</v>
      </c>
      <c r="O175" s="1156">
        <f t="shared" si="30"/>
        <v>0</v>
      </c>
      <c r="P175" s="1155">
        <f t="shared" si="31"/>
        <v>0</v>
      </c>
      <c r="R175" s="1546"/>
      <c r="S175" s="1547"/>
    </row>
    <row r="176" spans="1:19" ht="37.5" customHeight="1">
      <c r="A176" s="625" t="s">
        <v>394</v>
      </c>
      <c r="B176" s="595" t="s">
        <v>390</v>
      </c>
      <c r="C176" s="691" t="s">
        <v>391</v>
      </c>
      <c r="D176" s="847">
        <v>811</v>
      </c>
      <c r="E176" s="464" t="s">
        <v>635</v>
      </c>
      <c r="F176" s="598" t="s">
        <v>295</v>
      </c>
      <c r="G176" s="1154">
        <v>0</v>
      </c>
      <c r="H176" s="1154"/>
      <c r="I176" s="1154"/>
      <c r="J176" s="1154">
        <f t="shared" si="28"/>
        <v>0</v>
      </c>
      <c r="K176" s="1154">
        <v>0</v>
      </c>
      <c r="L176" s="1154"/>
      <c r="M176" s="1154"/>
      <c r="N176" s="1154">
        <f t="shared" si="29"/>
        <v>0</v>
      </c>
      <c r="O176" s="1154">
        <f t="shared" si="30"/>
        <v>0</v>
      </c>
      <c r="P176" s="1155">
        <f t="shared" si="31"/>
        <v>0</v>
      </c>
      <c r="R176" s="1546"/>
      <c r="S176" s="1547"/>
    </row>
    <row r="177" spans="1:19" ht="37.5" customHeight="1">
      <c r="A177" s="570" t="s">
        <v>394</v>
      </c>
      <c r="B177" s="571" t="s">
        <v>390</v>
      </c>
      <c r="C177" s="572" t="s">
        <v>391</v>
      </c>
      <c r="D177" s="505">
        <v>821</v>
      </c>
      <c r="E177" s="656" t="s">
        <v>27</v>
      </c>
      <c r="F177" s="569" t="s">
        <v>28</v>
      </c>
      <c r="G177" s="1154">
        <v>0</v>
      </c>
      <c r="H177" s="1154"/>
      <c r="I177" s="1154"/>
      <c r="J177" s="1154">
        <f t="shared" si="28"/>
        <v>0</v>
      </c>
      <c r="K177" s="1154">
        <v>0</v>
      </c>
      <c r="L177" s="1154"/>
      <c r="M177" s="1154"/>
      <c r="N177" s="1154">
        <f t="shared" si="29"/>
        <v>0</v>
      </c>
      <c r="O177" s="1154">
        <f t="shared" si="30"/>
        <v>0</v>
      </c>
      <c r="P177" s="1155">
        <f t="shared" si="31"/>
        <v>0</v>
      </c>
      <c r="R177" s="1546"/>
      <c r="S177" s="1547"/>
    </row>
    <row r="178" spans="1:19" ht="36.75" customHeight="1">
      <c r="A178" s="570" t="s">
        <v>394</v>
      </c>
      <c r="B178" s="571" t="s">
        <v>390</v>
      </c>
      <c r="C178" s="572" t="s">
        <v>391</v>
      </c>
      <c r="D178" s="505">
        <v>421</v>
      </c>
      <c r="E178" s="656" t="s">
        <v>637</v>
      </c>
      <c r="F178" s="569" t="s">
        <v>908</v>
      </c>
      <c r="G178" s="1154">
        <v>23000</v>
      </c>
      <c r="H178" s="1154"/>
      <c r="I178" s="1154"/>
      <c r="J178" s="1154">
        <f t="shared" si="28"/>
        <v>23000</v>
      </c>
      <c r="K178" s="1154">
        <v>0</v>
      </c>
      <c r="L178" s="1154"/>
      <c r="M178" s="1154"/>
      <c r="N178" s="1154">
        <f t="shared" si="29"/>
        <v>0</v>
      </c>
      <c r="O178" s="1154">
        <f t="shared" si="30"/>
        <v>23000</v>
      </c>
      <c r="P178" s="1155">
        <f t="shared" si="31"/>
        <v>23000</v>
      </c>
      <c r="R178" s="1546"/>
      <c r="S178" s="1547"/>
    </row>
    <row r="179" spans="1:19" ht="37.5" customHeight="1">
      <c r="A179" s="625" t="s">
        <v>394</v>
      </c>
      <c r="B179" s="595" t="s">
        <v>390</v>
      </c>
      <c r="C179" s="691" t="s">
        <v>391</v>
      </c>
      <c r="D179" s="847">
        <v>811</v>
      </c>
      <c r="E179" s="464" t="s">
        <v>638</v>
      </c>
      <c r="F179" s="598" t="s">
        <v>330</v>
      </c>
      <c r="G179" s="1154">
        <v>0</v>
      </c>
      <c r="H179" s="1154"/>
      <c r="I179" s="1154"/>
      <c r="J179" s="1154">
        <f t="shared" si="28"/>
        <v>0</v>
      </c>
      <c r="K179" s="1154">
        <v>0</v>
      </c>
      <c r="L179" s="1154"/>
      <c r="M179" s="1154"/>
      <c r="N179" s="1154">
        <f t="shared" si="29"/>
        <v>0</v>
      </c>
      <c r="O179" s="1154">
        <f t="shared" si="30"/>
        <v>0</v>
      </c>
      <c r="P179" s="1155">
        <f t="shared" si="31"/>
        <v>0</v>
      </c>
      <c r="R179" s="1546"/>
      <c r="S179" s="1547"/>
    </row>
    <row r="180" spans="1:19" ht="37.5" customHeight="1">
      <c r="A180" s="625" t="s">
        <v>394</v>
      </c>
      <c r="B180" s="595" t="s">
        <v>390</v>
      </c>
      <c r="C180" s="691" t="s">
        <v>391</v>
      </c>
      <c r="D180" s="847">
        <v>811</v>
      </c>
      <c r="E180" s="464" t="s">
        <v>639</v>
      </c>
      <c r="F180" s="598" t="s">
        <v>213</v>
      </c>
      <c r="G180" s="1154">
        <v>0</v>
      </c>
      <c r="H180" s="1154"/>
      <c r="I180" s="1154"/>
      <c r="J180" s="1154">
        <f t="shared" si="28"/>
        <v>0</v>
      </c>
      <c r="K180" s="1154">
        <v>0</v>
      </c>
      <c r="L180" s="1154"/>
      <c r="M180" s="1154"/>
      <c r="N180" s="1154">
        <f t="shared" si="29"/>
        <v>0</v>
      </c>
      <c r="O180" s="1154">
        <f t="shared" si="30"/>
        <v>0</v>
      </c>
      <c r="P180" s="1155">
        <f t="shared" si="31"/>
        <v>0</v>
      </c>
      <c r="R180" s="1546"/>
      <c r="S180" s="1547"/>
    </row>
    <row r="181" spans="1:63" s="519" customFormat="1" ht="37.5" customHeight="1" thickBot="1">
      <c r="A181" s="629" t="s">
        <v>394</v>
      </c>
      <c r="B181" s="630" t="s">
        <v>390</v>
      </c>
      <c r="C181" s="920" t="s">
        <v>391</v>
      </c>
      <c r="D181" s="847">
        <v>821</v>
      </c>
      <c r="E181" s="847" t="s">
        <v>640</v>
      </c>
      <c r="F181" s="598" t="s">
        <v>280</v>
      </c>
      <c r="G181" s="1154">
        <v>0</v>
      </c>
      <c r="H181" s="1154"/>
      <c r="I181" s="1154"/>
      <c r="J181" s="1154">
        <f t="shared" si="28"/>
        <v>0</v>
      </c>
      <c r="K181" s="1154">
        <v>0</v>
      </c>
      <c r="L181" s="1154"/>
      <c r="M181" s="1154"/>
      <c r="N181" s="1154">
        <f t="shared" si="29"/>
        <v>0</v>
      </c>
      <c r="O181" s="1154">
        <f t="shared" si="30"/>
        <v>0</v>
      </c>
      <c r="P181" s="1155">
        <f t="shared" si="31"/>
        <v>0</v>
      </c>
      <c r="Q181" s="1018"/>
      <c r="R181" s="1546"/>
      <c r="S181" s="1547"/>
      <c r="T181" s="1018"/>
      <c r="U181" s="1018"/>
      <c r="V181" s="1018"/>
      <c r="W181" s="1018"/>
      <c r="X181" s="1018"/>
      <c r="Y181" s="1018"/>
      <c r="Z181" s="1018"/>
      <c r="AA181" s="1018"/>
      <c r="AB181" s="1018"/>
      <c r="AC181" s="1018"/>
      <c r="AD181" s="1018"/>
      <c r="AE181" s="1018"/>
      <c r="AF181" s="1018"/>
      <c r="AG181" s="1018"/>
      <c r="AH181" s="1018"/>
      <c r="AI181" s="1018"/>
      <c r="AJ181" s="1018"/>
      <c r="AK181" s="1018"/>
      <c r="AL181" s="1018"/>
      <c r="AM181" s="1018"/>
      <c r="AN181" s="1018"/>
      <c r="AO181" s="1018"/>
      <c r="AP181" s="1018"/>
      <c r="AQ181" s="1018"/>
      <c r="AR181" s="1018"/>
      <c r="AS181" s="1018"/>
      <c r="AT181" s="1018"/>
      <c r="AU181" s="1018"/>
      <c r="AV181" s="1018"/>
      <c r="AW181" s="1018"/>
      <c r="AX181" s="1018"/>
      <c r="AY181" s="1018"/>
      <c r="AZ181" s="1018"/>
      <c r="BA181" s="1018"/>
      <c r="BB181" s="1018"/>
      <c r="BC181" s="1018"/>
      <c r="BD181" s="1018"/>
      <c r="BE181" s="1018"/>
      <c r="BF181" s="1018"/>
      <c r="BG181" s="1018"/>
      <c r="BH181" s="1018"/>
      <c r="BI181" s="1018"/>
      <c r="BJ181" s="1018"/>
      <c r="BK181" s="1018"/>
    </row>
    <row r="182" spans="1:63" s="519" customFormat="1" ht="37.5" customHeight="1" thickBot="1">
      <c r="A182" s="629" t="s">
        <v>394</v>
      </c>
      <c r="B182" s="630" t="s">
        <v>390</v>
      </c>
      <c r="C182" s="920" t="s">
        <v>391</v>
      </c>
      <c r="D182" s="505">
        <v>821</v>
      </c>
      <c r="E182" s="656" t="s">
        <v>641</v>
      </c>
      <c r="F182" s="569" t="s">
        <v>358</v>
      </c>
      <c r="G182" s="1154">
        <v>0</v>
      </c>
      <c r="H182" s="1154"/>
      <c r="I182" s="1154"/>
      <c r="J182" s="1154">
        <f t="shared" si="28"/>
        <v>0</v>
      </c>
      <c r="K182" s="1154">
        <v>0</v>
      </c>
      <c r="L182" s="1154"/>
      <c r="M182" s="1154"/>
      <c r="N182" s="1154">
        <f t="shared" si="29"/>
        <v>0</v>
      </c>
      <c r="O182" s="1154">
        <f t="shared" si="30"/>
        <v>0</v>
      </c>
      <c r="P182" s="1155">
        <f t="shared" si="31"/>
        <v>0</v>
      </c>
      <c r="Q182" s="1018"/>
      <c r="R182" s="1548"/>
      <c r="S182" s="1549"/>
      <c r="T182" s="1018"/>
      <c r="U182" s="1018"/>
      <c r="V182" s="1018"/>
      <c r="W182" s="1018"/>
      <c r="X182" s="1018"/>
      <c r="Y182" s="1018"/>
      <c r="Z182" s="1018"/>
      <c r="AA182" s="1018"/>
      <c r="AB182" s="1018"/>
      <c r="AC182" s="1018"/>
      <c r="AD182" s="1018"/>
      <c r="AE182" s="1018"/>
      <c r="AF182" s="1018"/>
      <c r="AG182" s="1018"/>
      <c r="AH182" s="1018"/>
      <c r="AI182" s="1018"/>
      <c r="AJ182" s="1018"/>
      <c r="AK182" s="1018"/>
      <c r="AL182" s="1018"/>
      <c r="AM182" s="1018"/>
      <c r="AN182" s="1018"/>
      <c r="AO182" s="1018"/>
      <c r="AP182" s="1018"/>
      <c r="AQ182" s="1018"/>
      <c r="AR182" s="1018"/>
      <c r="AS182" s="1018"/>
      <c r="AT182" s="1018"/>
      <c r="AU182" s="1018"/>
      <c r="AV182" s="1018"/>
      <c r="AW182" s="1018"/>
      <c r="AX182" s="1018"/>
      <c r="AY182" s="1018"/>
      <c r="AZ182" s="1018"/>
      <c r="BA182" s="1018"/>
      <c r="BB182" s="1018"/>
      <c r="BC182" s="1018"/>
      <c r="BD182" s="1018"/>
      <c r="BE182" s="1018"/>
      <c r="BF182" s="1018"/>
      <c r="BG182" s="1018"/>
      <c r="BH182" s="1018"/>
      <c r="BI182" s="1018"/>
      <c r="BJ182" s="1018"/>
      <c r="BK182" s="1018"/>
    </row>
    <row r="183" spans="1:63" s="519" customFormat="1" ht="37.5" customHeight="1" thickBot="1">
      <c r="A183" s="629" t="s">
        <v>394</v>
      </c>
      <c r="B183" s="630" t="s">
        <v>390</v>
      </c>
      <c r="C183" s="920" t="s">
        <v>391</v>
      </c>
      <c r="D183" s="847">
        <v>811</v>
      </c>
      <c r="E183" s="464" t="s">
        <v>642</v>
      </c>
      <c r="F183" s="598" t="s">
        <v>613</v>
      </c>
      <c r="G183" s="1154">
        <v>0</v>
      </c>
      <c r="H183" s="1154"/>
      <c r="I183" s="1154"/>
      <c r="J183" s="1154">
        <f t="shared" si="28"/>
        <v>0</v>
      </c>
      <c r="K183" s="1154">
        <v>0</v>
      </c>
      <c r="L183" s="1154"/>
      <c r="M183" s="1154"/>
      <c r="N183" s="1154">
        <f t="shared" si="29"/>
        <v>0</v>
      </c>
      <c r="O183" s="1154">
        <f t="shared" si="30"/>
        <v>0</v>
      </c>
      <c r="P183" s="1155">
        <f t="shared" si="31"/>
        <v>0</v>
      </c>
      <c r="Q183" s="1018"/>
      <c r="R183" s="1548"/>
      <c r="S183" s="1549"/>
      <c r="T183" s="1018"/>
      <c r="U183" s="1018"/>
      <c r="V183" s="1018"/>
      <c r="W183" s="1018"/>
      <c r="X183" s="1018"/>
      <c r="Y183" s="1018"/>
      <c r="Z183" s="1018"/>
      <c r="AA183" s="1018"/>
      <c r="AB183" s="1018"/>
      <c r="AC183" s="1018"/>
      <c r="AD183" s="1018"/>
      <c r="AE183" s="1018"/>
      <c r="AF183" s="1018"/>
      <c r="AG183" s="1018"/>
      <c r="AH183" s="1018"/>
      <c r="AI183" s="1018"/>
      <c r="AJ183" s="1018"/>
      <c r="AK183" s="1018"/>
      <c r="AL183" s="1018"/>
      <c r="AM183" s="1018"/>
      <c r="AN183" s="1018"/>
      <c r="AO183" s="1018"/>
      <c r="AP183" s="1018"/>
      <c r="AQ183" s="1018"/>
      <c r="AR183" s="1018"/>
      <c r="AS183" s="1018"/>
      <c r="AT183" s="1018"/>
      <c r="AU183" s="1018"/>
      <c r="AV183" s="1018"/>
      <c r="AW183" s="1018"/>
      <c r="AX183" s="1018"/>
      <c r="AY183" s="1018"/>
      <c r="AZ183" s="1018"/>
      <c r="BA183" s="1018"/>
      <c r="BB183" s="1018"/>
      <c r="BC183" s="1018"/>
      <c r="BD183" s="1018"/>
      <c r="BE183" s="1018"/>
      <c r="BF183" s="1018"/>
      <c r="BG183" s="1018"/>
      <c r="BH183" s="1018"/>
      <c r="BI183" s="1018"/>
      <c r="BJ183" s="1018"/>
      <c r="BK183" s="1018"/>
    </row>
    <row r="184" spans="1:63" s="519" customFormat="1" ht="37.5" customHeight="1" thickBot="1">
      <c r="A184" s="629" t="s">
        <v>394</v>
      </c>
      <c r="B184" s="630" t="s">
        <v>390</v>
      </c>
      <c r="C184" s="920" t="s">
        <v>391</v>
      </c>
      <c r="D184" s="505">
        <v>474</v>
      </c>
      <c r="E184" s="656" t="s">
        <v>643</v>
      </c>
      <c r="F184" s="569" t="s">
        <v>906</v>
      </c>
      <c r="G184" s="1154">
        <v>0</v>
      </c>
      <c r="H184" s="1154"/>
      <c r="I184" s="1154"/>
      <c r="J184" s="1154">
        <f t="shared" si="28"/>
        <v>0</v>
      </c>
      <c r="K184" s="1154">
        <v>0</v>
      </c>
      <c r="L184" s="1154"/>
      <c r="M184" s="1154"/>
      <c r="N184" s="1154">
        <f t="shared" si="29"/>
        <v>0</v>
      </c>
      <c r="O184" s="1154">
        <f t="shared" si="30"/>
        <v>0</v>
      </c>
      <c r="P184" s="1155">
        <f t="shared" si="31"/>
        <v>0</v>
      </c>
      <c r="Q184" s="1018"/>
      <c r="R184" s="1548"/>
      <c r="S184" s="1549"/>
      <c r="T184" s="1018"/>
      <c r="U184" s="1018"/>
      <c r="V184" s="1018"/>
      <c r="W184" s="1018"/>
      <c r="X184" s="1018"/>
      <c r="Y184" s="1018"/>
      <c r="Z184" s="1018"/>
      <c r="AA184" s="1018"/>
      <c r="AB184" s="1018"/>
      <c r="AC184" s="1018"/>
      <c r="AD184" s="1018"/>
      <c r="AE184" s="1018"/>
      <c r="AF184" s="1018"/>
      <c r="AG184" s="1018"/>
      <c r="AH184" s="1018"/>
      <c r="AI184" s="1018"/>
      <c r="AJ184" s="1018"/>
      <c r="AK184" s="1018"/>
      <c r="AL184" s="1018"/>
      <c r="AM184" s="1018"/>
      <c r="AN184" s="1018"/>
      <c r="AO184" s="1018"/>
      <c r="AP184" s="1018"/>
      <c r="AQ184" s="1018"/>
      <c r="AR184" s="1018"/>
      <c r="AS184" s="1018"/>
      <c r="AT184" s="1018"/>
      <c r="AU184" s="1018"/>
      <c r="AV184" s="1018"/>
      <c r="AW184" s="1018"/>
      <c r="AX184" s="1018"/>
      <c r="AY184" s="1018"/>
      <c r="AZ184" s="1018"/>
      <c r="BA184" s="1018"/>
      <c r="BB184" s="1018"/>
      <c r="BC184" s="1018"/>
      <c r="BD184" s="1018"/>
      <c r="BE184" s="1018"/>
      <c r="BF184" s="1018"/>
      <c r="BG184" s="1018"/>
      <c r="BH184" s="1018"/>
      <c r="BI184" s="1018"/>
      <c r="BJ184" s="1018"/>
      <c r="BK184" s="1018"/>
    </row>
    <row r="185" spans="1:63" s="519" customFormat="1" ht="37.5" customHeight="1" thickBot="1">
      <c r="A185" s="629" t="s">
        <v>394</v>
      </c>
      <c r="B185" s="630" t="s">
        <v>390</v>
      </c>
      <c r="C185" s="920" t="s">
        <v>391</v>
      </c>
      <c r="D185" s="847">
        <v>811</v>
      </c>
      <c r="E185" s="464" t="s">
        <v>644</v>
      </c>
      <c r="F185" s="714" t="s">
        <v>306</v>
      </c>
      <c r="G185" s="1154">
        <v>0</v>
      </c>
      <c r="H185" s="1154"/>
      <c r="I185" s="1154"/>
      <c r="J185" s="1154">
        <f t="shared" si="28"/>
        <v>0</v>
      </c>
      <c r="K185" s="1154">
        <v>0</v>
      </c>
      <c r="L185" s="1154"/>
      <c r="M185" s="1154"/>
      <c r="N185" s="1154">
        <f t="shared" si="29"/>
        <v>0</v>
      </c>
      <c r="O185" s="1154">
        <f t="shared" si="30"/>
        <v>0</v>
      </c>
      <c r="P185" s="1155">
        <f t="shared" si="31"/>
        <v>0</v>
      </c>
      <c r="Q185" s="1018"/>
      <c r="R185" s="1548"/>
      <c r="S185" s="1549"/>
      <c r="T185" s="1018"/>
      <c r="U185" s="1018"/>
      <c r="V185" s="1018"/>
      <c r="W185" s="1018"/>
      <c r="X185" s="1018"/>
      <c r="Y185" s="1018"/>
      <c r="Z185" s="1018"/>
      <c r="AA185" s="1018"/>
      <c r="AB185" s="1018"/>
      <c r="AC185" s="1018"/>
      <c r="AD185" s="1018"/>
      <c r="AE185" s="1018"/>
      <c r="AF185" s="1018"/>
      <c r="AG185" s="1018"/>
      <c r="AH185" s="1018"/>
      <c r="AI185" s="1018"/>
      <c r="AJ185" s="1018"/>
      <c r="AK185" s="1018"/>
      <c r="AL185" s="1018"/>
      <c r="AM185" s="1018"/>
      <c r="AN185" s="1018"/>
      <c r="AO185" s="1018"/>
      <c r="AP185" s="1018"/>
      <c r="AQ185" s="1018"/>
      <c r="AR185" s="1018"/>
      <c r="AS185" s="1018"/>
      <c r="AT185" s="1018"/>
      <c r="AU185" s="1018"/>
      <c r="AV185" s="1018"/>
      <c r="AW185" s="1018"/>
      <c r="AX185" s="1018"/>
      <c r="AY185" s="1018"/>
      <c r="AZ185" s="1018"/>
      <c r="BA185" s="1018"/>
      <c r="BB185" s="1018"/>
      <c r="BC185" s="1018"/>
      <c r="BD185" s="1018"/>
      <c r="BE185" s="1018"/>
      <c r="BF185" s="1018"/>
      <c r="BG185" s="1018"/>
      <c r="BH185" s="1018"/>
      <c r="BI185" s="1018"/>
      <c r="BJ185" s="1018"/>
      <c r="BK185" s="1018"/>
    </row>
    <row r="186" spans="1:63" s="519" customFormat="1" ht="37.5" customHeight="1" thickBot="1">
      <c r="A186" s="629" t="s">
        <v>394</v>
      </c>
      <c r="B186" s="630" t="s">
        <v>390</v>
      </c>
      <c r="C186" s="920" t="s">
        <v>391</v>
      </c>
      <c r="D186" s="847">
        <v>1091</v>
      </c>
      <c r="E186" s="464" t="s">
        <v>636</v>
      </c>
      <c r="F186" s="598" t="s">
        <v>31</v>
      </c>
      <c r="G186" s="1154">
        <v>0</v>
      </c>
      <c r="H186" s="1154"/>
      <c r="I186" s="1154"/>
      <c r="J186" s="1154">
        <f t="shared" si="28"/>
        <v>0</v>
      </c>
      <c r="K186" s="1154">
        <v>0</v>
      </c>
      <c r="L186" s="1154"/>
      <c r="M186" s="1154"/>
      <c r="N186" s="1154">
        <f t="shared" si="29"/>
        <v>0</v>
      </c>
      <c r="O186" s="1154">
        <f t="shared" si="30"/>
        <v>0</v>
      </c>
      <c r="P186" s="1155">
        <f t="shared" si="31"/>
        <v>0</v>
      </c>
      <c r="Q186" s="1018"/>
      <c r="R186" s="1548"/>
      <c r="S186" s="1549"/>
      <c r="T186" s="1018"/>
      <c r="U186" s="1018"/>
      <c r="V186" s="1018"/>
      <c r="W186" s="1018"/>
      <c r="X186" s="1018"/>
      <c r="Y186" s="1018"/>
      <c r="Z186" s="1018"/>
      <c r="AA186" s="1018"/>
      <c r="AB186" s="1018"/>
      <c r="AC186" s="1018"/>
      <c r="AD186" s="1018"/>
      <c r="AE186" s="1018"/>
      <c r="AF186" s="1018"/>
      <c r="AG186" s="1018"/>
      <c r="AH186" s="1018"/>
      <c r="AI186" s="1018"/>
      <c r="AJ186" s="1018"/>
      <c r="AK186" s="1018"/>
      <c r="AL186" s="1018"/>
      <c r="AM186" s="1018"/>
      <c r="AN186" s="1018"/>
      <c r="AO186" s="1018"/>
      <c r="AP186" s="1018"/>
      <c r="AQ186" s="1018"/>
      <c r="AR186" s="1018"/>
      <c r="AS186" s="1018"/>
      <c r="AT186" s="1018"/>
      <c r="AU186" s="1018"/>
      <c r="AV186" s="1018"/>
      <c r="AW186" s="1018"/>
      <c r="AX186" s="1018"/>
      <c r="AY186" s="1018"/>
      <c r="AZ186" s="1018"/>
      <c r="BA186" s="1018"/>
      <c r="BB186" s="1018"/>
      <c r="BC186" s="1018"/>
      <c r="BD186" s="1018"/>
      <c r="BE186" s="1018"/>
      <c r="BF186" s="1018"/>
      <c r="BG186" s="1018"/>
      <c r="BH186" s="1018"/>
      <c r="BI186" s="1018"/>
      <c r="BJ186" s="1018"/>
      <c r="BK186" s="1018"/>
    </row>
    <row r="187" spans="1:63" s="519" customFormat="1" ht="48" customHeight="1" thickBot="1">
      <c r="A187" s="886" t="s">
        <v>394</v>
      </c>
      <c r="B187" s="885" t="s">
        <v>390</v>
      </c>
      <c r="C187" s="934" t="s">
        <v>391</v>
      </c>
      <c r="D187" s="505">
        <v>474</v>
      </c>
      <c r="E187" s="656" t="s">
        <v>315</v>
      </c>
      <c r="F187" s="507" t="s">
        <v>447</v>
      </c>
      <c r="G187" s="1156">
        <v>15000</v>
      </c>
      <c r="H187" s="1156"/>
      <c r="I187" s="1156"/>
      <c r="J187" s="1156">
        <f t="shared" si="28"/>
        <v>15000</v>
      </c>
      <c r="K187" s="1156">
        <v>0</v>
      </c>
      <c r="L187" s="1156"/>
      <c r="M187" s="1156"/>
      <c r="N187" s="1156">
        <f t="shared" si="29"/>
        <v>0</v>
      </c>
      <c r="O187" s="1156">
        <f t="shared" si="30"/>
        <v>15000</v>
      </c>
      <c r="P187" s="1157">
        <f t="shared" si="31"/>
        <v>15000</v>
      </c>
      <c r="Q187" s="1018"/>
      <c r="R187" s="1548"/>
      <c r="S187" s="1549"/>
      <c r="T187" s="1018"/>
      <c r="U187" s="1018"/>
      <c r="V187" s="1018"/>
      <c r="W187" s="1018"/>
      <c r="X187" s="1018"/>
      <c r="Y187" s="1018"/>
      <c r="Z187" s="1018"/>
      <c r="AA187" s="1018"/>
      <c r="AB187" s="1018"/>
      <c r="AC187" s="1018"/>
      <c r="AD187" s="1018"/>
      <c r="AE187" s="1018"/>
      <c r="AF187" s="1018"/>
      <c r="AG187" s="1018"/>
      <c r="AH187" s="1018"/>
      <c r="AI187" s="1018"/>
      <c r="AJ187" s="1018"/>
      <c r="AK187" s="1018"/>
      <c r="AL187" s="1018"/>
      <c r="AM187" s="1018"/>
      <c r="AN187" s="1018"/>
      <c r="AO187" s="1018"/>
      <c r="AP187" s="1018"/>
      <c r="AQ187" s="1018"/>
      <c r="AR187" s="1018"/>
      <c r="AS187" s="1018"/>
      <c r="AT187" s="1018"/>
      <c r="AU187" s="1018"/>
      <c r="AV187" s="1018"/>
      <c r="AW187" s="1018"/>
      <c r="AX187" s="1018"/>
      <c r="AY187" s="1018"/>
      <c r="AZ187" s="1018"/>
      <c r="BA187" s="1018"/>
      <c r="BB187" s="1018"/>
      <c r="BC187" s="1018"/>
      <c r="BD187" s="1018"/>
      <c r="BE187" s="1018"/>
      <c r="BF187" s="1018"/>
      <c r="BG187" s="1018"/>
      <c r="BH187" s="1018"/>
      <c r="BI187" s="1018"/>
      <c r="BJ187" s="1018"/>
      <c r="BK187" s="1018"/>
    </row>
    <row r="188" spans="1:63" s="519" customFormat="1" ht="37.5" customHeight="1" thickBot="1">
      <c r="A188" s="629" t="s">
        <v>394</v>
      </c>
      <c r="B188" s="630" t="s">
        <v>390</v>
      </c>
      <c r="C188" s="920" t="s">
        <v>391</v>
      </c>
      <c r="D188" s="847">
        <v>811</v>
      </c>
      <c r="E188" s="464" t="s">
        <v>110</v>
      </c>
      <c r="F188" s="598" t="s">
        <v>407</v>
      </c>
      <c r="G188" s="1154">
        <v>0</v>
      </c>
      <c r="H188" s="1154"/>
      <c r="I188" s="1154"/>
      <c r="J188" s="1154">
        <f t="shared" si="28"/>
        <v>0</v>
      </c>
      <c r="K188" s="1154">
        <v>0</v>
      </c>
      <c r="L188" s="1154"/>
      <c r="M188" s="1154"/>
      <c r="N188" s="1154">
        <f t="shared" si="29"/>
        <v>0</v>
      </c>
      <c r="O188" s="1154">
        <f t="shared" si="30"/>
        <v>0</v>
      </c>
      <c r="P188" s="1279">
        <f t="shared" si="31"/>
        <v>0</v>
      </c>
      <c r="Q188" s="1018"/>
      <c r="R188" s="1548"/>
      <c r="S188" s="1549"/>
      <c r="T188" s="1018"/>
      <c r="U188" s="1018"/>
      <c r="V188" s="1018"/>
      <c r="W188" s="1018"/>
      <c r="X188" s="1018"/>
      <c r="Y188" s="1018"/>
      <c r="Z188" s="1018"/>
      <c r="AA188" s="1018"/>
      <c r="AB188" s="1018"/>
      <c r="AC188" s="1018"/>
      <c r="AD188" s="1018"/>
      <c r="AE188" s="1018"/>
      <c r="AF188" s="1018"/>
      <c r="AG188" s="1018"/>
      <c r="AH188" s="1018"/>
      <c r="AI188" s="1018"/>
      <c r="AJ188" s="1018"/>
      <c r="AK188" s="1018"/>
      <c r="AL188" s="1018"/>
      <c r="AM188" s="1018"/>
      <c r="AN188" s="1018"/>
      <c r="AO188" s="1018"/>
      <c r="AP188" s="1018"/>
      <c r="AQ188" s="1018"/>
      <c r="AR188" s="1018"/>
      <c r="AS188" s="1018"/>
      <c r="AT188" s="1018"/>
      <c r="AU188" s="1018"/>
      <c r="AV188" s="1018"/>
      <c r="AW188" s="1018"/>
      <c r="AX188" s="1018"/>
      <c r="AY188" s="1018"/>
      <c r="AZ188" s="1018"/>
      <c r="BA188" s="1018"/>
      <c r="BB188" s="1018"/>
      <c r="BC188" s="1018"/>
      <c r="BD188" s="1018"/>
      <c r="BE188" s="1018"/>
      <c r="BF188" s="1018"/>
      <c r="BG188" s="1018"/>
      <c r="BH188" s="1018"/>
      <c r="BI188" s="1018"/>
      <c r="BJ188" s="1018"/>
      <c r="BK188" s="1018"/>
    </row>
    <row r="189" spans="1:63" ht="27" customHeight="1" thickBot="1">
      <c r="A189" s="455"/>
      <c r="B189" s="455"/>
      <c r="C189" s="455"/>
      <c r="D189" s="457"/>
      <c r="E189" s="457"/>
      <c r="F189" s="455"/>
      <c r="G189" s="458"/>
      <c r="H189" s="458"/>
      <c r="I189" s="458"/>
      <c r="J189" s="458"/>
      <c r="K189" s="458"/>
      <c r="L189" s="458"/>
      <c r="M189" s="458"/>
      <c r="N189" s="458"/>
      <c r="O189" s="458"/>
      <c r="P189" s="458"/>
      <c r="Q189" s="1018"/>
      <c r="R189" s="1018"/>
      <c r="S189" s="1018"/>
      <c r="T189" s="1018"/>
      <c r="U189" s="1018"/>
      <c r="V189" s="1018"/>
      <c r="W189" s="1018"/>
      <c r="X189" s="1018"/>
      <c r="Y189" s="1018"/>
      <c r="Z189" s="1018"/>
      <c r="AA189" s="1018"/>
      <c r="AB189" s="1018"/>
      <c r="AC189" s="1018"/>
      <c r="AD189" s="1018"/>
      <c r="AE189" s="1018"/>
      <c r="AF189" s="1018"/>
      <c r="AG189" s="1018"/>
      <c r="AH189" s="1018"/>
      <c r="AI189" s="1018"/>
      <c r="AJ189" s="1018"/>
      <c r="AK189" s="1018"/>
      <c r="AL189" s="1018"/>
      <c r="AM189" s="1018"/>
      <c r="AN189" s="1018"/>
      <c r="AO189" s="1018"/>
      <c r="AP189" s="1018"/>
      <c r="AQ189" s="1018"/>
      <c r="AR189" s="1018"/>
      <c r="AS189" s="1018"/>
      <c r="AT189" s="1018"/>
      <c r="AU189" s="1018"/>
      <c r="AV189" s="1018"/>
      <c r="AW189" s="1018"/>
      <c r="AX189" s="1018"/>
      <c r="AY189" s="1018"/>
      <c r="AZ189" s="1018"/>
      <c r="BA189" s="1018"/>
      <c r="BB189" s="1018"/>
      <c r="BC189" s="1018"/>
      <c r="BD189" s="1018"/>
      <c r="BE189" s="1018"/>
      <c r="BF189" s="1018"/>
      <c r="BG189" s="1018"/>
      <c r="BH189" s="1018"/>
      <c r="BI189" s="1018"/>
      <c r="BJ189" s="1018"/>
      <c r="BK189" s="1018"/>
    </row>
    <row r="190" spans="1:63" s="527" customFormat="1" ht="280.5" customHeight="1">
      <c r="A190" s="401" t="s">
        <v>494</v>
      </c>
      <c r="B190" s="402" t="s">
        <v>495</v>
      </c>
      <c r="C190" s="403" t="s">
        <v>687</v>
      </c>
      <c r="D190" s="404" t="s">
        <v>497</v>
      </c>
      <c r="E190" s="404" t="s">
        <v>188</v>
      </c>
      <c r="F190" s="405" t="s">
        <v>496</v>
      </c>
      <c r="G190" s="813" t="s">
        <v>1322</v>
      </c>
      <c r="H190" s="813" t="s">
        <v>1324</v>
      </c>
      <c r="I190" s="813" t="s">
        <v>1325</v>
      </c>
      <c r="J190" s="813" t="s">
        <v>1326</v>
      </c>
      <c r="K190" s="813" t="s">
        <v>1323</v>
      </c>
      <c r="L190" s="813" t="s">
        <v>1327</v>
      </c>
      <c r="M190" s="813" t="s">
        <v>1328</v>
      </c>
      <c r="N190" s="813" t="s">
        <v>1329</v>
      </c>
      <c r="O190" s="1278" t="s">
        <v>1321</v>
      </c>
      <c r="P190" s="1149" t="s">
        <v>1330</v>
      </c>
      <c r="Q190" s="1018"/>
      <c r="R190" s="1018"/>
      <c r="S190" s="1018"/>
      <c r="T190" s="1018"/>
      <c r="U190" s="1018"/>
      <c r="V190" s="1018"/>
      <c r="W190" s="1018"/>
      <c r="X190" s="1018"/>
      <c r="Y190" s="1018"/>
      <c r="Z190" s="1018"/>
      <c r="AA190" s="1018"/>
      <c r="AB190" s="1018"/>
      <c r="AC190" s="1018"/>
      <c r="AD190" s="1018"/>
      <c r="AE190" s="1018"/>
      <c r="AF190" s="1018"/>
      <c r="AG190" s="1018"/>
      <c r="AH190" s="1018"/>
      <c r="AI190" s="1018"/>
      <c r="AJ190" s="1018"/>
      <c r="AK190" s="1018"/>
      <c r="AL190" s="1018"/>
      <c r="AM190" s="1018"/>
      <c r="AN190" s="1018"/>
      <c r="AO190" s="1018"/>
      <c r="AP190" s="1018"/>
      <c r="AQ190" s="1018"/>
      <c r="AR190" s="1018"/>
      <c r="AS190" s="1018"/>
      <c r="AT190" s="1018"/>
      <c r="AU190" s="1018"/>
      <c r="AV190" s="1018"/>
      <c r="AW190" s="1018"/>
      <c r="AX190" s="1018"/>
      <c r="AY190" s="1018"/>
      <c r="AZ190" s="1018"/>
      <c r="BA190" s="1018"/>
      <c r="BB190" s="1018"/>
      <c r="BC190" s="1018"/>
      <c r="BD190" s="1018"/>
      <c r="BE190" s="1018"/>
      <c r="BF190" s="1018"/>
      <c r="BG190" s="1018"/>
      <c r="BH190" s="1018"/>
      <c r="BI190" s="1018"/>
      <c r="BJ190" s="1018"/>
      <c r="BK190" s="1018"/>
    </row>
    <row r="191" spans="1:16" ht="25.5" customHeight="1">
      <c r="A191" s="819"/>
      <c r="B191" s="820"/>
      <c r="C191" s="961"/>
      <c r="D191" s="962">
        <v>1</v>
      </c>
      <c r="E191" s="963">
        <v>2</v>
      </c>
      <c r="F191" s="823">
        <v>3</v>
      </c>
      <c r="G191" s="1150">
        <v>4</v>
      </c>
      <c r="H191" s="1150">
        <v>5</v>
      </c>
      <c r="I191" s="1150">
        <v>6</v>
      </c>
      <c r="J191" s="1150">
        <v>7</v>
      </c>
      <c r="K191" s="1150">
        <v>8</v>
      </c>
      <c r="L191" s="1150">
        <v>9</v>
      </c>
      <c r="M191" s="1150">
        <v>10</v>
      </c>
      <c r="N191" s="1150">
        <v>11</v>
      </c>
      <c r="O191" s="1150">
        <v>12</v>
      </c>
      <c r="P191" s="1151">
        <v>13</v>
      </c>
    </row>
    <row r="192" spans="1:19" ht="36" customHeight="1">
      <c r="A192" s="625" t="s">
        <v>394</v>
      </c>
      <c r="B192" s="595" t="s">
        <v>390</v>
      </c>
      <c r="C192" s="691" t="s">
        <v>391</v>
      </c>
      <c r="D192" s="579">
        <v>811</v>
      </c>
      <c r="E192" s="580" t="s">
        <v>472</v>
      </c>
      <c r="F192" s="578" t="s">
        <v>79</v>
      </c>
      <c r="G192" s="1154">
        <v>0</v>
      </c>
      <c r="H192" s="1154"/>
      <c r="I192" s="1154"/>
      <c r="J192" s="1154">
        <f aca="true" t="shared" si="32" ref="J192:J219">G192+H192-I192</f>
        <v>0</v>
      </c>
      <c r="K192" s="1154">
        <v>0</v>
      </c>
      <c r="L192" s="1154"/>
      <c r="M192" s="1154"/>
      <c r="N192" s="1154">
        <f aca="true" t="shared" si="33" ref="N192:N219">K192+L192-M192</f>
        <v>0</v>
      </c>
      <c r="O192" s="1154">
        <f aca="true" t="shared" si="34" ref="O192:O219">G192+K192</f>
        <v>0</v>
      </c>
      <c r="P192" s="1155">
        <f aca="true" t="shared" si="35" ref="P192:P219">J192+N192</f>
        <v>0</v>
      </c>
      <c r="R192" s="1546"/>
      <c r="S192" s="1547"/>
    </row>
    <row r="193" spans="1:19" ht="27" customHeight="1">
      <c r="A193" s="570" t="s">
        <v>394</v>
      </c>
      <c r="B193" s="571" t="s">
        <v>390</v>
      </c>
      <c r="C193" s="572" t="s">
        <v>391</v>
      </c>
      <c r="D193" s="568">
        <v>831</v>
      </c>
      <c r="E193" s="506" t="s">
        <v>296</v>
      </c>
      <c r="F193" s="573" t="s">
        <v>297</v>
      </c>
      <c r="G193" s="1154">
        <v>0</v>
      </c>
      <c r="H193" s="1154"/>
      <c r="I193" s="1154"/>
      <c r="J193" s="1154">
        <f t="shared" si="32"/>
        <v>0</v>
      </c>
      <c r="K193" s="1154">
        <v>0</v>
      </c>
      <c r="L193" s="1154"/>
      <c r="M193" s="1154"/>
      <c r="N193" s="1154">
        <f t="shared" si="33"/>
        <v>0</v>
      </c>
      <c r="O193" s="1154">
        <f t="shared" si="34"/>
        <v>0</v>
      </c>
      <c r="P193" s="1155">
        <f t="shared" si="35"/>
        <v>0</v>
      </c>
      <c r="R193" s="1546"/>
      <c r="S193" s="1547"/>
    </row>
    <row r="194" spans="1:19" ht="28.5" customHeight="1">
      <c r="A194" s="570" t="s">
        <v>394</v>
      </c>
      <c r="B194" s="571" t="s">
        <v>390</v>
      </c>
      <c r="C194" s="572" t="s">
        <v>391</v>
      </c>
      <c r="D194" s="568">
        <v>474</v>
      </c>
      <c r="E194" s="656" t="s">
        <v>59</v>
      </c>
      <c r="F194" s="569" t="s">
        <v>56</v>
      </c>
      <c r="G194" s="1154">
        <v>0</v>
      </c>
      <c r="H194" s="1154"/>
      <c r="I194" s="1154"/>
      <c r="J194" s="1154">
        <f t="shared" si="32"/>
        <v>0</v>
      </c>
      <c r="K194" s="1154">
        <v>0</v>
      </c>
      <c r="L194" s="1154"/>
      <c r="M194" s="1154"/>
      <c r="N194" s="1154">
        <f t="shared" si="33"/>
        <v>0</v>
      </c>
      <c r="O194" s="1154">
        <f t="shared" si="34"/>
        <v>0</v>
      </c>
      <c r="P194" s="1155">
        <f t="shared" si="35"/>
        <v>0</v>
      </c>
      <c r="R194" s="1546"/>
      <c r="S194" s="1547"/>
    </row>
    <row r="195" spans="1:19" ht="27" customHeight="1">
      <c r="A195" s="570" t="s">
        <v>394</v>
      </c>
      <c r="B195" s="571" t="s">
        <v>390</v>
      </c>
      <c r="C195" s="572" t="s">
        <v>391</v>
      </c>
      <c r="D195" s="568">
        <v>474</v>
      </c>
      <c r="E195" s="506" t="s">
        <v>82</v>
      </c>
      <c r="F195" s="714" t="s">
        <v>81</v>
      </c>
      <c r="G195" s="1154">
        <v>39000</v>
      </c>
      <c r="H195" s="1154"/>
      <c r="I195" s="1154"/>
      <c r="J195" s="1154">
        <f t="shared" si="32"/>
        <v>39000</v>
      </c>
      <c r="K195" s="1154">
        <v>0</v>
      </c>
      <c r="L195" s="1154"/>
      <c r="M195" s="1154"/>
      <c r="N195" s="1154">
        <f t="shared" si="33"/>
        <v>0</v>
      </c>
      <c r="O195" s="1154">
        <f t="shared" si="34"/>
        <v>39000</v>
      </c>
      <c r="P195" s="1155">
        <f t="shared" si="35"/>
        <v>39000</v>
      </c>
      <c r="R195" s="1546"/>
      <c r="S195" s="1547"/>
    </row>
    <row r="196" spans="1:19" ht="47.25" customHeight="1">
      <c r="A196" s="625" t="s">
        <v>394</v>
      </c>
      <c r="B196" s="595" t="s">
        <v>390</v>
      </c>
      <c r="C196" s="691" t="s">
        <v>391</v>
      </c>
      <c r="D196" s="579">
        <v>1091</v>
      </c>
      <c r="E196" s="580" t="s">
        <v>775</v>
      </c>
      <c r="F196" s="578" t="s">
        <v>776</v>
      </c>
      <c r="G196" s="1156">
        <v>0</v>
      </c>
      <c r="H196" s="1156"/>
      <c r="I196" s="1156"/>
      <c r="J196" s="1154">
        <f t="shared" si="32"/>
        <v>0</v>
      </c>
      <c r="K196" s="1156">
        <v>0</v>
      </c>
      <c r="L196" s="1156"/>
      <c r="M196" s="1156"/>
      <c r="N196" s="1154">
        <f t="shared" si="33"/>
        <v>0</v>
      </c>
      <c r="O196" s="1156">
        <f t="shared" si="34"/>
        <v>0</v>
      </c>
      <c r="P196" s="1155">
        <f t="shared" si="35"/>
        <v>0</v>
      </c>
      <c r="R196" s="1546"/>
      <c r="S196" s="1547"/>
    </row>
    <row r="197" spans="1:19" ht="50.25" customHeight="1">
      <c r="A197" s="1297" t="s">
        <v>394</v>
      </c>
      <c r="B197" s="1298" t="s">
        <v>390</v>
      </c>
      <c r="C197" s="1299" t="s">
        <v>391</v>
      </c>
      <c r="D197" s="1452">
        <v>474</v>
      </c>
      <c r="E197" s="1453" t="s">
        <v>1406</v>
      </c>
      <c r="F197" s="1454" t="s">
        <v>1425</v>
      </c>
      <c r="G197" s="1303">
        <v>0</v>
      </c>
      <c r="H197" s="1303">
        <v>45000</v>
      </c>
      <c r="I197" s="1303"/>
      <c r="J197" s="1303">
        <f t="shared" si="32"/>
        <v>45000</v>
      </c>
      <c r="K197" s="1303">
        <v>0</v>
      </c>
      <c r="L197" s="1303"/>
      <c r="M197" s="1303"/>
      <c r="N197" s="1303">
        <f t="shared" si="33"/>
        <v>0</v>
      </c>
      <c r="O197" s="1303">
        <f t="shared" si="34"/>
        <v>0</v>
      </c>
      <c r="P197" s="1304">
        <f t="shared" si="35"/>
        <v>45000</v>
      </c>
      <c r="R197" s="1123"/>
      <c r="S197" s="391"/>
    </row>
    <row r="198" spans="1:19" ht="30.75" customHeight="1">
      <c r="A198" s="625" t="s">
        <v>394</v>
      </c>
      <c r="B198" s="595" t="s">
        <v>390</v>
      </c>
      <c r="C198" s="691" t="s">
        <v>391</v>
      </c>
      <c r="D198" s="579">
        <v>761</v>
      </c>
      <c r="E198" s="580" t="s">
        <v>846</v>
      </c>
      <c r="F198" s="578" t="s">
        <v>847</v>
      </c>
      <c r="G198" s="1154">
        <v>0</v>
      </c>
      <c r="H198" s="1154"/>
      <c r="I198" s="1154"/>
      <c r="J198" s="1154">
        <f t="shared" si="32"/>
        <v>0</v>
      </c>
      <c r="K198" s="1154">
        <v>0</v>
      </c>
      <c r="L198" s="1154"/>
      <c r="M198" s="1154"/>
      <c r="N198" s="1154">
        <f t="shared" si="33"/>
        <v>0</v>
      </c>
      <c r="O198" s="1154">
        <f t="shared" si="34"/>
        <v>0</v>
      </c>
      <c r="P198" s="1155">
        <f t="shared" si="35"/>
        <v>0</v>
      </c>
      <c r="R198" s="1546"/>
      <c r="S198" s="1547"/>
    </row>
    <row r="199" spans="1:19" ht="32.25" customHeight="1">
      <c r="A199" s="625" t="s">
        <v>394</v>
      </c>
      <c r="B199" s="595" t="s">
        <v>390</v>
      </c>
      <c r="C199" s="691" t="s">
        <v>391</v>
      </c>
      <c r="D199" s="579">
        <v>1094</v>
      </c>
      <c r="E199" s="580" t="s">
        <v>848</v>
      </c>
      <c r="F199" s="578" t="s">
        <v>849</v>
      </c>
      <c r="G199" s="1154">
        <v>0</v>
      </c>
      <c r="H199" s="1154"/>
      <c r="I199" s="1154"/>
      <c r="J199" s="1154">
        <f t="shared" si="32"/>
        <v>0</v>
      </c>
      <c r="K199" s="1154">
        <v>0</v>
      </c>
      <c r="L199" s="1154"/>
      <c r="M199" s="1154"/>
      <c r="N199" s="1154">
        <f t="shared" si="33"/>
        <v>0</v>
      </c>
      <c r="O199" s="1154">
        <f t="shared" si="34"/>
        <v>0</v>
      </c>
      <c r="P199" s="1155">
        <f t="shared" si="35"/>
        <v>0</v>
      </c>
      <c r="R199" s="1546"/>
      <c r="S199" s="1547"/>
    </row>
    <row r="200" spans="1:19" ht="33" customHeight="1">
      <c r="A200" s="625" t="s">
        <v>394</v>
      </c>
      <c r="B200" s="595" t="s">
        <v>390</v>
      </c>
      <c r="C200" s="691" t="s">
        <v>391</v>
      </c>
      <c r="D200" s="847">
        <v>821</v>
      </c>
      <c r="E200" s="464">
        <v>614325</v>
      </c>
      <c r="F200" s="598" t="s">
        <v>623</v>
      </c>
      <c r="G200" s="1154">
        <v>0</v>
      </c>
      <c r="H200" s="1154"/>
      <c r="I200" s="1154"/>
      <c r="J200" s="1154">
        <f t="shared" si="32"/>
        <v>0</v>
      </c>
      <c r="K200" s="1154">
        <v>0</v>
      </c>
      <c r="L200" s="1154"/>
      <c r="M200" s="1154"/>
      <c r="N200" s="1154">
        <f t="shared" si="33"/>
        <v>0</v>
      </c>
      <c r="O200" s="1154">
        <f t="shared" si="34"/>
        <v>0</v>
      </c>
      <c r="P200" s="1155">
        <f t="shared" si="35"/>
        <v>0</v>
      </c>
      <c r="R200" s="1546"/>
      <c r="S200" s="1547"/>
    </row>
    <row r="201" spans="1:19" ht="33" customHeight="1">
      <c r="A201" s="625" t="s">
        <v>394</v>
      </c>
      <c r="B201" s="595" t="s">
        <v>390</v>
      </c>
      <c r="C201" s="691" t="s">
        <v>391</v>
      </c>
      <c r="D201" s="847">
        <v>474</v>
      </c>
      <c r="E201" s="464" t="s">
        <v>645</v>
      </c>
      <c r="F201" s="598" t="s">
        <v>214</v>
      </c>
      <c r="G201" s="1154">
        <v>20000</v>
      </c>
      <c r="H201" s="1154"/>
      <c r="I201" s="1154"/>
      <c r="J201" s="1154">
        <f t="shared" si="32"/>
        <v>20000</v>
      </c>
      <c r="K201" s="1154">
        <v>0</v>
      </c>
      <c r="L201" s="1154"/>
      <c r="M201" s="1154"/>
      <c r="N201" s="1154">
        <f t="shared" si="33"/>
        <v>0</v>
      </c>
      <c r="O201" s="1154">
        <f t="shared" si="34"/>
        <v>20000</v>
      </c>
      <c r="P201" s="1155">
        <f t="shared" si="35"/>
        <v>20000</v>
      </c>
      <c r="R201" s="1546"/>
      <c r="S201" s="1547"/>
    </row>
    <row r="202" spans="1:19" ht="31.5" customHeight="1">
      <c r="A202" s="625" t="s">
        <v>394</v>
      </c>
      <c r="B202" s="595" t="s">
        <v>390</v>
      </c>
      <c r="C202" s="691" t="s">
        <v>391</v>
      </c>
      <c r="D202" s="847">
        <v>1091</v>
      </c>
      <c r="E202" s="464" t="s">
        <v>646</v>
      </c>
      <c r="F202" s="598" t="s">
        <v>599</v>
      </c>
      <c r="G202" s="1190">
        <v>0</v>
      </c>
      <c r="H202" s="1190"/>
      <c r="I202" s="1190"/>
      <c r="J202" s="1154">
        <f t="shared" si="32"/>
        <v>0</v>
      </c>
      <c r="K202" s="1154">
        <v>0</v>
      </c>
      <c r="L202" s="1154"/>
      <c r="M202" s="1154"/>
      <c r="N202" s="1154">
        <f t="shared" si="33"/>
        <v>0</v>
      </c>
      <c r="O202" s="1154">
        <f t="shared" si="34"/>
        <v>0</v>
      </c>
      <c r="P202" s="1155">
        <f t="shared" si="35"/>
        <v>0</v>
      </c>
      <c r="R202" s="1546"/>
      <c r="S202" s="1547"/>
    </row>
    <row r="203" spans="1:19" ht="33" customHeight="1">
      <c r="A203" s="625" t="s">
        <v>394</v>
      </c>
      <c r="B203" s="595" t="s">
        <v>390</v>
      </c>
      <c r="C203" s="691" t="s">
        <v>391</v>
      </c>
      <c r="D203" s="847">
        <v>1091</v>
      </c>
      <c r="E203" s="464" t="s">
        <v>647</v>
      </c>
      <c r="F203" s="598" t="s">
        <v>215</v>
      </c>
      <c r="G203" s="1154">
        <v>0</v>
      </c>
      <c r="H203" s="1154"/>
      <c r="I203" s="1154"/>
      <c r="J203" s="1154">
        <f t="shared" si="32"/>
        <v>0</v>
      </c>
      <c r="K203" s="1154">
        <v>0</v>
      </c>
      <c r="L203" s="1154"/>
      <c r="M203" s="1154"/>
      <c r="N203" s="1154">
        <f t="shared" si="33"/>
        <v>0</v>
      </c>
      <c r="O203" s="1154">
        <f t="shared" si="34"/>
        <v>0</v>
      </c>
      <c r="P203" s="1155">
        <f t="shared" si="35"/>
        <v>0</v>
      </c>
      <c r="R203" s="1546"/>
      <c r="S203" s="1547"/>
    </row>
    <row r="204" spans="1:19" ht="34.5" customHeight="1">
      <c r="A204" s="625" t="s">
        <v>394</v>
      </c>
      <c r="B204" s="595" t="s">
        <v>390</v>
      </c>
      <c r="C204" s="691" t="s">
        <v>391</v>
      </c>
      <c r="D204" s="847">
        <v>821</v>
      </c>
      <c r="E204" s="464" t="s">
        <v>648</v>
      </c>
      <c r="F204" s="598" t="s">
        <v>423</v>
      </c>
      <c r="G204" s="1154">
        <v>540000</v>
      </c>
      <c r="H204" s="1154"/>
      <c r="I204" s="1154"/>
      <c r="J204" s="1154">
        <f t="shared" si="32"/>
        <v>540000</v>
      </c>
      <c r="K204" s="1154">
        <v>0</v>
      </c>
      <c r="L204" s="1154"/>
      <c r="M204" s="1154"/>
      <c r="N204" s="1154">
        <f t="shared" si="33"/>
        <v>0</v>
      </c>
      <c r="O204" s="1154">
        <f t="shared" si="34"/>
        <v>540000</v>
      </c>
      <c r="P204" s="1155">
        <f t="shared" si="35"/>
        <v>540000</v>
      </c>
      <c r="R204" s="1546"/>
      <c r="S204" s="1547"/>
    </row>
    <row r="205" spans="1:19" ht="48" customHeight="1">
      <c r="A205" s="570" t="s">
        <v>394</v>
      </c>
      <c r="B205" s="571" t="s">
        <v>390</v>
      </c>
      <c r="C205" s="572" t="s">
        <v>391</v>
      </c>
      <c r="D205" s="505">
        <v>821</v>
      </c>
      <c r="E205" s="656" t="s">
        <v>649</v>
      </c>
      <c r="F205" s="569" t="s">
        <v>294</v>
      </c>
      <c r="G205" s="1156">
        <v>220000</v>
      </c>
      <c r="H205" s="1156"/>
      <c r="I205" s="1156"/>
      <c r="J205" s="1156">
        <f t="shared" si="32"/>
        <v>220000</v>
      </c>
      <c r="K205" s="1156">
        <v>0</v>
      </c>
      <c r="L205" s="1156"/>
      <c r="M205" s="1156"/>
      <c r="N205" s="1156">
        <f t="shared" si="33"/>
        <v>0</v>
      </c>
      <c r="O205" s="1156">
        <f t="shared" si="34"/>
        <v>220000</v>
      </c>
      <c r="P205" s="1157">
        <f t="shared" si="35"/>
        <v>220000</v>
      </c>
      <c r="R205" s="1546"/>
      <c r="S205" s="1547"/>
    </row>
    <row r="206" spans="1:19" ht="36" customHeight="1">
      <c r="A206" s="625" t="s">
        <v>394</v>
      </c>
      <c r="B206" s="595" t="s">
        <v>390</v>
      </c>
      <c r="C206" s="691" t="s">
        <v>391</v>
      </c>
      <c r="D206" s="847">
        <v>831</v>
      </c>
      <c r="E206" s="464" t="s">
        <v>650</v>
      </c>
      <c r="F206" s="598" t="s">
        <v>714</v>
      </c>
      <c r="G206" s="1154">
        <v>555000</v>
      </c>
      <c r="H206" s="1154"/>
      <c r="I206" s="1154"/>
      <c r="J206" s="1154">
        <f t="shared" si="32"/>
        <v>555000</v>
      </c>
      <c r="K206" s="1154">
        <v>0</v>
      </c>
      <c r="L206" s="1154"/>
      <c r="M206" s="1154"/>
      <c r="N206" s="1154">
        <f t="shared" si="33"/>
        <v>0</v>
      </c>
      <c r="O206" s="1154">
        <f t="shared" si="34"/>
        <v>555000</v>
      </c>
      <c r="P206" s="1155">
        <f t="shared" si="35"/>
        <v>555000</v>
      </c>
      <c r="R206" s="1546"/>
      <c r="S206" s="1547"/>
    </row>
    <row r="207" spans="1:19" ht="36" customHeight="1">
      <c r="A207" s="625" t="s">
        <v>394</v>
      </c>
      <c r="B207" s="595" t="s">
        <v>390</v>
      </c>
      <c r="C207" s="691" t="s">
        <v>391</v>
      </c>
      <c r="D207" s="579">
        <v>474</v>
      </c>
      <c r="E207" s="580" t="s">
        <v>653</v>
      </c>
      <c r="F207" s="578" t="s">
        <v>293</v>
      </c>
      <c r="G207" s="1154">
        <v>65000</v>
      </c>
      <c r="H207" s="1154"/>
      <c r="I207" s="1154"/>
      <c r="J207" s="1154">
        <f t="shared" si="32"/>
        <v>65000</v>
      </c>
      <c r="K207" s="1154">
        <v>0</v>
      </c>
      <c r="L207" s="1154"/>
      <c r="M207" s="1154"/>
      <c r="N207" s="1154">
        <f t="shared" si="33"/>
        <v>0</v>
      </c>
      <c r="O207" s="1154">
        <f t="shared" si="34"/>
        <v>65000</v>
      </c>
      <c r="P207" s="1155">
        <f t="shared" si="35"/>
        <v>65000</v>
      </c>
      <c r="R207" s="1546"/>
      <c r="S207" s="1547"/>
    </row>
    <row r="208" spans="1:19" ht="33" customHeight="1">
      <c r="A208" s="1311" t="s">
        <v>394</v>
      </c>
      <c r="B208" s="1312" t="s">
        <v>390</v>
      </c>
      <c r="C208" s="1336" t="s">
        <v>391</v>
      </c>
      <c r="D208" s="1389">
        <v>811</v>
      </c>
      <c r="E208" s="1348" t="s">
        <v>238</v>
      </c>
      <c r="F208" s="1390" t="s">
        <v>239</v>
      </c>
      <c r="G208" s="1315">
        <v>254000</v>
      </c>
      <c r="H208" s="1315">
        <v>32000</v>
      </c>
      <c r="I208" s="1315"/>
      <c r="J208" s="1315">
        <f t="shared" si="32"/>
        <v>286000</v>
      </c>
      <c r="K208" s="1315">
        <v>0</v>
      </c>
      <c r="L208" s="1315"/>
      <c r="M208" s="1315"/>
      <c r="N208" s="1315">
        <f t="shared" si="33"/>
        <v>0</v>
      </c>
      <c r="O208" s="1315">
        <f t="shared" si="34"/>
        <v>254000</v>
      </c>
      <c r="P208" s="1316">
        <f t="shared" si="35"/>
        <v>286000</v>
      </c>
      <c r="R208" s="1546"/>
      <c r="S208" s="1547"/>
    </row>
    <row r="209" spans="1:19" ht="34.5" customHeight="1">
      <c r="A209" s="625" t="s">
        <v>394</v>
      </c>
      <c r="B209" s="595" t="s">
        <v>390</v>
      </c>
      <c r="C209" s="691" t="s">
        <v>391</v>
      </c>
      <c r="D209" s="579">
        <v>761</v>
      </c>
      <c r="E209" s="580" t="s">
        <v>245</v>
      </c>
      <c r="F209" s="578" t="s">
        <v>269</v>
      </c>
      <c r="G209" s="1154">
        <v>50000</v>
      </c>
      <c r="H209" s="1154"/>
      <c r="I209" s="1154"/>
      <c r="J209" s="1154">
        <f t="shared" si="32"/>
        <v>50000</v>
      </c>
      <c r="K209" s="1154">
        <v>0</v>
      </c>
      <c r="L209" s="1154"/>
      <c r="M209" s="1154"/>
      <c r="N209" s="1154">
        <f t="shared" si="33"/>
        <v>0</v>
      </c>
      <c r="O209" s="1154">
        <f t="shared" si="34"/>
        <v>50000</v>
      </c>
      <c r="P209" s="1155">
        <f t="shared" si="35"/>
        <v>50000</v>
      </c>
      <c r="R209" s="1546"/>
      <c r="S209" s="1547"/>
    </row>
    <row r="210" spans="1:19" ht="34.5" customHeight="1">
      <c r="A210" s="625" t="s">
        <v>394</v>
      </c>
      <c r="B210" s="595" t="s">
        <v>390</v>
      </c>
      <c r="C210" s="691" t="s">
        <v>391</v>
      </c>
      <c r="D210" s="579">
        <v>474</v>
      </c>
      <c r="E210" s="580" t="s">
        <v>246</v>
      </c>
      <c r="F210" s="578" t="s">
        <v>270</v>
      </c>
      <c r="G210" s="1154">
        <v>278500</v>
      </c>
      <c r="H210" s="1154"/>
      <c r="I210" s="1154"/>
      <c r="J210" s="1154">
        <f t="shared" si="32"/>
        <v>278500</v>
      </c>
      <c r="K210" s="1154">
        <v>0</v>
      </c>
      <c r="L210" s="1154"/>
      <c r="M210" s="1154"/>
      <c r="N210" s="1154">
        <f t="shared" si="33"/>
        <v>0</v>
      </c>
      <c r="O210" s="1154">
        <f t="shared" si="34"/>
        <v>278500</v>
      </c>
      <c r="P210" s="1155">
        <f t="shared" si="35"/>
        <v>278500</v>
      </c>
      <c r="R210" s="1546"/>
      <c r="S210" s="1547"/>
    </row>
    <row r="211" spans="1:19" ht="31.5" customHeight="1">
      <c r="A211" s="625" t="s">
        <v>394</v>
      </c>
      <c r="B211" s="595" t="s">
        <v>390</v>
      </c>
      <c r="C211" s="691" t="s">
        <v>391</v>
      </c>
      <c r="D211" s="579">
        <v>1091</v>
      </c>
      <c r="E211" s="580" t="s">
        <v>301</v>
      </c>
      <c r="F211" s="578" t="s">
        <v>302</v>
      </c>
      <c r="G211" s="1154">
        <v>70000</v>
      </c>
      <c r="H211" s="1154"/>
      <c r="I211" s="1154"/>
      <c r="J211" s="1154">
        <f t="shared" si="32"/>
        <v>70000</v>
      </c>
      <c r="K211" s="1154">
        <v>0</v>
      </c>
      <c r="L211" s="1154"/>
      <c r="M211" s="1154"/>
      <c r="N211" s="1154">
        <f t="shared" si="33"/>
        <v>0</v>
      </c>
      <c r="O211" s="1154">
        <f t="shared" si="34"/>
        <v>70000</v>
      </c>
      <c r="P211" s="1155">
        <f t="shared" si="35"/>
        <v>70000</v>
      </c>
      <c r="R211" s="1546"/>
      <c r="S211" s="1547"/>
    </row>
    <row r="212" spans="1:19" ht="25.5" customHeight="1">
      <c r="A212" s="625" t="s">
        <v>394</v>
      </c>
      <c r="B212" s="595" t="s">
        <v>390</v>
      </c>
      <c r="C212" s="691" t="s">
        <v>391</v>
      </c>
      <c r="D212" s="579">
        <v>474</v>
      </c>
      <c r="E212" s="580" t="s">
        <v>905</v>
      </c>
      <c r="F212" s="578" t="s">
        <v>903</v>
      </c>
      <c r="G212" s="1154">
        <v>0</v>
      </c>
      <c r="H212" s="1154"/>
      <c r="I212" s="1154"/>
      <c r="J212" s="1154">
        <f t="shared" si="32"/>
        <v>0</v>
      </c>
      <c r="K212" s="1154">
        <v>0</v>
      </c>
      <c r="L212" s="1154"/>
      <c r="M212" s="1154"/>
      <c r="N212" s="1154">
        <f t="shared" si="33"/>
        <v>0</v>
      </c>
      <c r="O212" s="1154">
        <f t="shared" si="34"/>
        <v>0</v>
      </c>
      <c r="P212" s="1155">
        <f t="shared" si="35"/>
        <v>0</v>
      </c>
      <c r="R212" s="1546"/>
      <c r="S212" s="1547"/>
    </row>
    <row r="213" spans="1:19" ht="25.5" customHeight="1">
      <c r="A213" s="625" t="s">
        <v>394</v>
      </c>
      <c r="B213" s="595" t="s">
        <v>390</v>
      </c>
      <c r="C213" s="691" t="s">
        <v>391</v>
      </c>
      <c r="D213" s="579">
        <v>474</v>
      </c>
      <c r="E213" s="930" t="s">
        <v>920</v>
      </c>
      <c r="F213" s="714" t="s">
        <v>919</v>
      </c>
      <c r="G213" s="1154">
        <v>70000</v>
      </c>
      <c r="H213" s="1154"/>
      <c r="I213" s="1154"/>
      <c r="J213" s="1154">
        <f t="shared" si="32"/>
        <v>70000</v>
      </c>
      <c r="K213" s="1154">
        <v>0</v>
      </c>
      <c r="L213" s="1154"/>
      <c r="M213" s="1154"/>
      <c r="N213" s="1154">
        <f t="shared" si="33"/>
        <v>0</v>
      </c>
      <c r="O213" s="1154">
        <f t="shared" si="34"/>
        <v>70000</v>
      </c>
      <c r="P213" s="1155">
        <f t="shared" si="35"/>
        <v>70000</v>
      </c>
      <c r="R213" s="1123"/>
      <c r="S213" s="391"/>
    </row>
    <row r="214" spans="1:19" ht="27" customHeight="1">
      <c r="A214" s="873" t="s">
        <v>394</v>
      </c>
      <c r="B214" s="874" t="s">
        <v>390</v>
      </c>
      <c r="C214" s="875" t="s">
        <v>391</v>
      </c>
      <c r="D214" s="579">
        <v>474</v>
      </c>
      <c r="E214" s="580" t="s">
        <v>985</v>
      </c>
      <c r="F214" s="578" t="s">
        <v>986</v>
      </c>
      <c r="G214" s="1154">
        <v>0</v>
      </c>
      <c r="H214" s="1154"/>
      <c r="I214" s="1154"/>
      <c r="J214" s="1154">
        <f t="shared" si="32"/>
        <v>0</v>
      </c>
      <c r="K214" s="1154">
        <v>0</v>
      </c>
      <c r="L214" s="1154"/>
      <c r="M214" s="1154"/>
      <c r="N214" s="1154">
        <f t="shared" si="33"/>
        <v>0</v>
      </c>
      <c r="O214" s="1154">
        <f t="shared" si="34"/>
        <v>0</v>
      </c>
      <c r="P214" s="1155">
        <f t="shared" si="35"/>
        <v>0</v>
      </c>
      <c r="R214" s="1546"/>
      <c r="S214" s="1547"/>
    </row>
    <row r="215" spans="1:19" ht="51" customHeight="1">
      <c r="A215" s="1370" t="s">
        <v>394</v>
      </c>
      <c r="B215" s="1381" t="s">
        <v>390</v>
      </c>
      <c r="C215" s="1382" t="s">
        <v>391</v>
      </c>
      <c r="D215" s="1389">
        <v>474</v>
      </c>
      <c r="E215" s="1348" t="s">
        <v>1402</v>
      </c>
      <c r="F215" s="1349" t="s">
        <v>1440</v>
      </c>
      <c r="G215" s="1315">
        <v>0</v>
      </c>
      <c r="H215" s="1315">
        <v>500000</v>
      </c>
      <c r="I215" s="1315"/>
      <c r="J215" s="1315">
        <f t="shared" si="32"/>
        <v>500000</v>
      </c>
      <c r="K215" s="1315">
        <v>0</v>
      </c>
      <c r="L215" s="1315"/>
      <c r="M215" s="1315"/>
      <c r="N215" s="1315">
        <f t="shared" si="33"/>
        <v>0</v>
      </c>
      <c r="O215" s="1315">
        <f t="shared" si="34"/>
        <v>0</v>
      </c>
      <c r="P215" s="1316">
        <f t="shared" si="35"/>
        <v>500000</v>
      </c>
      <c r="R215" s="1123"/>
      <c r="S215" s="391"/>
    </row>
    <row r="216" spans="1:19" s="582" customFormat="1" ht="30" customHeight="1">
      <c r="A216" s="876" t="s">
        <v>394</v>
      </c>
      <c r="B216" s="877" t="s">
        <v>390</v>
      </c>
      <c r="C216" s="572" t="s">
        <v>391</v>
      </c>
      <c r="D216" s="579">
        <v>811</v>
      </c>
      <c r="E216" s="580" t="s">
        <v>1013</v>
      </c>
      <c r="F216" s="1063" t="s">
        <v>1014</v>
      </c>
      <c r="G216" s="1154">
        <v>0</v>
      </c>
      <c r="H216" s="1154"/>
      <c r="I216" s="1154"/>
      <c r="J216" s="1154">
        <f t="shared" si="32"/>
        <v>0</v>
      </c>
      <c r="K216" s="1154">
        <v>0</v>
      </c>
      <c r="L216" s="1154"/>
      <c r="M216" s="1154"/>
      <c r="N216" s="1154">
        <f t="shared" si="33"/>
        <v>0</v>
      </c>
      <c r="O216" s="1154">
        <f t="shared" si="34"/>
        <v>0</v>
      </c>
      <c r="P216" s="1155">
        <f t="shared" si="35"/>
        <v>0</v>
      </c>
      <c r="R216" s="1546"/>
      <c r="S216" s="1547"/>
    </row>
    <row r="217" spans="1:19" s="582" customFormat="1" ht="49.5" customHeight="1">
      <c r="A217" s="661" t="s">
        <v>394</v>
      </c>
      <c r="B217" s="905" t="s">
        <v>390</v>
      </c>
      <c r="C217" s="572" t="s">
        <v>391</v>
      </c>
      <c r="D217" s="568">
        <v>741</v>
      </c>
      <c r="E217" s="506" t="s">
        <v>760</v>
      </c>
      <c r="F217" s="988" t="s">
        <v>994</v>
      </c>
      <c r="G217" s="1156">
        <v>0</v>
      </c>
      <c r="H217" s="1156"/>
      <c r="I217" s="1156"/>
      <c r="J217" s="1154">
        <f t="shared" si="32"/>
        <v>0</v>
      </c>
      <c r="K217" s="1156">
        <v>0</v>
      </c>
      <c r="L217" s="1156"/>
      <c r="M217" s="1156"/>
      <c r="N217" s="1154">
        <f t="shared" si="33"/>
        <v>0</v>
      </c>
      <c r="O217" s="1156">
        <f t="shared" si="34"/>
        <v>0</v>
      </c>
      <c r="P217" s="1155">
        <f t="shared" si="35"/>
        <v>0</v>
      </c>
      <c r="R217" s="1546"/>
      <c r="S217" s="1547"/>
    </row>
    <row r="218" spans="1:19" ht="34.5" customHeight="1">
      <c r="A218" s="570" t="s">
        <v>394</v>
      </c>
      <c r="B218" s="571" t="s">
        <v>390</v>
      </c>
      <c r="C218" s="572" t="s">
        <v>391</v>
      </c>
      <c r="D218" s="568">
        <v>761</v>
      </c>
      <c r="E218" s="506" t="s">
        <v>813</v>
      </c>
      <c r="F218" s="507" t="s">
        <v>922</v>
      </c>
      <c r="G218" s="1154">
        <v>0</v>
      </c>
      <c r="H218" s="1154"/>
      <c r="I218" s="1154"/>
      <c r="J218" s="1154">
        <f t="shared" si="32"/>
        <v>0</v>
      </c>
      <c r="K218" s="1182">
        <v>0</v>
      </c>
      <c r="L218" s="1154"/>
      <c r="M218" s="1154"/>
      <c r="N218" s="1154">
        <f t="shared" si="33"/>
        <v>0</v>
      </c>
      <c r="O218" s="1154">
        <f t="shared" si="34"/>
        <v>0</v>
      </c>
      <c r="P218" s="1155">
        <f t="shared" si="35"/>
        <v>0</v>
      </c>
      <c r="R218" s="1546"/>
      <c r="S218" s="1547"/>
    </row>
    <row r="219" spans="1:19" ht="45" customHeight="1">
      <c r="A219" s="570" t="s">
        <v>394</v>
      </c>
      <c r="B219" s="571" t="s">
        <v>390</v>
      </c>
      <c r="C219" s="572" t="s">
        <v>391</v>
      </c>
      <c r="D219" s="568">
        <v>474</v>
      </c>
      <c r="E219" s="506" t="s">
        <v>778</v>
      </c>
      <c r="F219" s="507" t="s">
        <v>777</v>
      </c>
      <c r="G219" s="1154">
        <v>5000</v>
      </c>
      <c r="H219" s="1181"/>
      <c r="I219" s="1181"/>
      <c r="J219" s="1154">
        <f t="shared" si="32"/>
        <v>5000</v>
      </c>
      <c r="K219" s="1173">
        <v>0</v>
      </c>
      <c r="L219" s="1173"/>
      <c r="M219" s="1173"/>
      <c r="N219" s="1154">
        <f t="shared" si="33"/>
        <v>0</v>
      </c>
      <c r="O219" s="1154">
        <f t="shared" si="34"/>
        <v>5000</v>
      </c>
      <c r="P219" s="1155">
        <f t="shared" si="35"/>
        <v>5000</v>
      </c>
      <c r="R219" s="1546"/>
      <c r="S219" s="1547"/>
    </row>
    <row r="220" spans="1:19" ht="36.75" customHeight="1">
      <c r="A220" s="878"/>
      <c r="B220" s="614"/>
      <c r="C220" s="415"/>
      <c r="D220" s="872"/>
      <c r="E220" s="635">
        <v>820000</v>
      </c>
      <c r="F220" s="879" t="s">
        <v>527</v>
      </c>
      <c r="G220" s="1158"/>
      <c r="H220" s="1158"/>
      <c r="I220" s="1158"/>
      <c r="J220" s="1158"/>
      <c r="K220" s="1158"/>
      <c r="L220" s="1158"/>
      <c r="M220" s="1158"/>
      <c r="N220" s="1158"/>
      <c r="O220" s="1158"/>
      <c r="P220" s="1159"/>
      <c r="R220" s="1546"/>
      <c r="S220" s="1547"/>
    </row>
    <row r="221" spans="1:19" ht="36.75" customHeight="1">
      <c r="A221" s="1311" t="s">
        <v>394</v>
      </c>
      <c r="B221" s="1312" t="s">
        <v>390</v>
      </c>
      <c r="C221" s="1336" t="s">
        <v>391</v>
      </c>
      <c r="D221" s="1341">
        <v>821</v>
      </c>
      <c r="E221" s="1313" t="s">
        <v>1199</v>
      </c>
      <c r="F221" s="1342" t="s">
        <v>1197</v>
      </c>
      <c r="G221" s="1315">
        <v>70000</v>
      </c>
      <c r="H221" s="1315"/>
      <c r="I221" s="1315">
        <v>70000</v>
      </c>
      <c r="J221" s="1315">
        <f>G221+H221-I221</f>
        <v>0</v>
      </c>
      <c r="K221" s="1315">
        <v>0</v>
      </c>
      <c r="L221" s="1315"/>
      <c r="M221" s="1315"/>
      <c r="N221" s="1315">
        <f>K221+L221-M221</f>
        <v>0</v>
      </c>
      <c r="O221" s="1315">
        <f>G221+K221</f>
        <v>70000</v>
      </c>
      <c r="P221" s="1316">
        <f>J221+N221</f>
        <v>0</v>
      </c>
      <c r="R221" s="1123"/>
      <c r="S221" s="391"/>
    </row>
    <row r="222" spans="1:19" ht="37.5" customHeight="1">
      <c r="A222" s="1311" t="s">
        <v>394</v>
      </c>
      <c r="B222" s="1312" t="s">
        <v>390</v>
      </c>
      <c r="C222" s="1336" t="s">
        <v>391</v>
      </c>
      <c r="D222" s="1341">
        <v>491</v>
      </c>
      <c r="E222" s="1313">
        <v>821300</v>
      </c>
      <c r="F222" s="1342" t="s">
        <v>528</v>
      </c>
      <c r="G222" s="1315">
        <v>10000</v>
      </c>
      <c r="H222" s="1315"/>
      <c r="I222" s="1315">
        <v>10000</v>
      </c>
      <c r="J222" s="1315">
        <f>G222+H222-I222</f>
        <v>0</v>
      </c>
      <c r="K222" s="1315">
        <v>0</v>
      </c>
      <c r="L222" s="1315"/>
      <c r="M222" s="1315"/>
      <c r="N222" s="1315">
        <f>K222+L222-M222</f>
        <v>0</v>
      </c>
      <c r="O222" s="1315">
        <f>G222+K222</f>
        <v>10000</v>
      </c>
      <c r="P222" s="1316">
        <f>J222+N222</f>
        <v>0</v>
      </c>
      <c r="R222" s="1546"/>
      <c r="S222" s="1547"/>
    </row>
    <row r="223" spans="1:16" ht="77.25" customHeight="1" thickBot="1">
      <c r="A223" s="642"/>
      <c r="B223" s="643"/>
      <c r="C223" s="643"/>
      <c r="D223" s="643"/>
      <c r="E223" s="643"/>
      <c r="F223" s="880" t="s">
        <v>1070</v>
      </c>
      <c r="G223" s="1166">
        <f aca="true" t="shared" si="36" ref="G223:P223">SUM(G159:G188,G192:G222)</f>
        <v>2782361.5</v>
      </c>
      <c r="H223" s="1166">
        <f t="shared" si="36"/>
        <v>582000</v>
      </c>
      <c r="I223" s="1166">
        <f t="shared" si="36"/>
        <v>80000</v>
      </c>
      <c r="J223" s="1166">
        <f t="shared" si="36"/>
        <v>3284361.5</v>
      </c>
      <c r="K223" s="1166">
        <f t="shared" si="36"/>
        <v>0</v>
      </c>
      <c r="L223" s="1166">
        <f t="shared" si="36"/>
        <v>0</v>
      </c>
      <c r="M223" s="1166">
        <f t="shared" si="36"/>
        <v>0</v>
      </c>
      <c r="N223" s="1166">
        <f t="shared" si="36"/>
        <v>0</v>
      </c>
      <c r="O223" s="1167">
        <f t="shared" si="36"/>
        <v>2782361.5</v>
      </c>
      <c r="P223" s="1168">
        <f t="shared" si="36"/>
        <v>3284361.5</v>
      </c>
    </row>
    <row r="224" spans="1:16" ht="33.75" customHeight="1">
      <c r="A224" s="843"/>
      <c r="B224" s="844"/>
      <c r="C224" s="844"/>
      <c r="D224" s="845"/>
      <c r="E224" s="845"/>
      <c r="F224" s="518" t="s">
        <v>1142</v>
      </c>
      <c r="G224" s="1191"/>
      <c r="H224" s="1191"/>
      <c r="I224" s="1191"/>
      <c r="J224" s="1191"/>
      <c r="K224" s="1191"/>
      <c r="L224" s="1192"/>
      <c r="M224" s="1192"/>
      <c r="N224" s="1192"/>
      <c r="O224" s="1192"/>
      <c r="P224" s="1193"/>
    </row>
    <row r="225" spans="1:16" ht="38.25" customHeight="1">
      <c r="A225" s="552"/>
      <c r="B225" s="553"/>
      <c r="C225" s="553"/>
      <c r="D225" s="420"/>
      <c r="E225" s="420"/>
      <c r="F225" s="473" t="s">
        <v>1076</v>
      </c>
      <c r="G225" s="1194"/>
      <c r="H225" s="1194"/>
      <c r="I225" s="1194"/>
      <c r="J225" s="1194"/>
      <c r="K225" s="1194"/>
      <c r="L225" s="1175"/>
      <c r="M225" s="1175"/>
      <c r="N225" s="1175"/>
      <c r="O225" s="1175">
        <v>15</v>
      </c>
      <c r="P225" s="1176"/>
    </row>
    <row r="226" spans="1:16" ht="32.25" customHeight="1" thickBot="1">
      <c r="A226" s="539"/>
      <c r="B226" s="540"/>
      <c r="C226" s="540"/>
      <c r="D226" s="453"/>
      <c r="E226" s="453"/>
      <c r="F226" s="515" t="s">
        <v>834</v>
      </c>
      <c r="G226" s="1195"/>
      <c r="H226" s="1195"/>
      <c r="I226" s="1195"/>
      <c r="J226" s="1195"/>
      <c r="K226" s="1195"/>
      <c r="L226" s="1179"/>
      <c r="M226" s="1179"/>
      <c r="N226" s="1179"/>
      <c r="O226" s="1179">
        <v>19</v>
      </c>
      <c r="P226" s="1180"/>
    </row>
    <row r="227" spans="1:16" ht="299.25" customHeight="1">
      <c r="A227" s="401" t="s">
        <v>494</v>
      </c>
      <c r="B227" s="402" t="s">
        <v>495</v>
      </c>
      <c r="C227" s="403" t="s">
        <v>687</v>
      </c>
      <c r="D227" s="404" t="s">
        <v>497</v>
      </c>
      <c r="E227" s="404" t="s">
        <v>188</v>
      </c>
      <c r="F227" s="405" t="s">
        <v>496</v>
      </c>
      <c r="G227" s="813" t="s">
        <v>1322</v>
      </c>
      <c r="H227" s="813" t="s">
        <v>1324</v>
      </c>
      <c r="I227" s="813" t="s">
        <v>1325</v>
      </c>
      <c r="J227" s="813" t="s">
        <v>1326</v>
      </c>
      <c r="K227" s="813" t="s">
        <v>1323</v>
      </c>
      <c r="L227" s="813" t="s">
        <v>1327</v>
      </c>
      <c r="M227" s="813" t="s">
        <v>1328</v>
      </c>
      <c r="N227" s="813" t="s">
        <v>1329</v>
      </c>
      <c r="O227" s="1278" t="s">
        <v>1321</v>
      </c>
      <c r="P227" s="1149" t="s">
        <v>1330</v>
      </c>
    </row>
    <row r="228" spans="1:16" ht="35.25" customHeight="1">
      <c r="A228" s="1533">
        <v>0</v>
      </c>
      <c r="B228" s="1534"/>
      <c r="C228" s="1534"/>
      <c r="D228" s="409">
        <v>1</v>
      </c>
      <c r="E228" s="409">
        <v>2</v>
      </c>
      <c r="F228" s="410">
        <v>3</v>
      </c>
      <c r="G228" s="1150">
        <v>4</v>
      </c>
      <c r="H228" s="1150">
        <v>5</v>
      </c>
      <c r="I228" s="1150">
        <v>6</v>
      </c>
      <c r="J228" s="1150">
        <v>7</v>
      </c>
      <c r="K228" s="1150">
        <v>8</v>
      </c>
      <c r="L228" s="1150">
        <v>9</v>
      </c>
      <c r="M228" s="1150">
        <v>10</v>
      </c>
      <c r="N228" s="1150">
        <v>11</v>
      </c>
      <c r="O228" s="1150">
        <v>12</v>
      </c>
      <c r="P228" s="1151">
        <v>13</v>
      </c>
    </row>
    <row r="229" spans="1:16" ht="54.75" customHeight="1">
      <c r="A229" s="824" t="s">
        <v>394</v>
      </c>
      <c r="B229" s="484"/>
      <c r="C229" s="484"/>
      <c r="D229" s="413"/>
      <c r="E229" s="413"/>
      <c r="F229" s="566" t="s">
        <v>1020</v>
      </c>
      <c r="G229" s="415"/>
      <c r="H229" s="415"/>
      <c r="I229" s="415"/>
      <c r="J229" s="415"/>
      <c r="K229" s="415"/>
      <c r="L229" s="415"/>
      <c r="M229" s="415"/>
      <c r="N229" s="415"/>
      <c r="O229" s="415"/>
      <c r="P229" s="1152"/>
    </row>
    <row r="230" spans="1:16" ht="54.75" customHeight="1">
      <c r="A230" s="825" t="s">
        <v>394</v>
      </c>
      <c r="B230" s="489" t="s">
        <v>390</v>
      </c>
      <c r="C230" s="489"/>
      <c r="D230" s="420"/>
      <c r="E230" s="420"/>
      <c r="F230" s="492" t="s">
        <v>1021</v>
      </c>
      <c r="G230" s="422"/>
      <c r="H230" s="422"/>
      <c r="I230" s="422"/>
      <c r="J230" s="422"/>
      <c r="K230" s="422"/>
      <c r="L230" s="422"/>
      <c r="M230" s="422"/>
      <c r="N230" s="422"/>
      <c r="O230" s="422"/>
      <c r="P230" s="1153"/>
    </row>
    <row r="231" spans="1:16" ht="54.75" customHeight="1">
      <c r="A231" s="424"/>
      <c r="B231" s="425"/>
      <c r="C231" s="425"/>
      <c r="D231" s="419"/>
      <c r="E231" s="426">
        <v>610000</v>
      </c>
      <c r="F231" s="427" t="s">
        <v>513</v>
      </c>
      <c r="G231" s="422"/>
      <c r="H231" s="422"/>
      <c r="I231" s="422"/>
      <c r="J231" s="422"/>
      <c r="K231" s="422"/>
      <c r="L231" s="422"/>
      <c r="M231" s="422"/>
      <c r="N231" s="422"/>
      <c r="O231" s="422"/>
      <c r="P231" s="1153"/>
    </row>
    <row r="232" spans="1:16" ht="54.75" customHeight="1">
      <c r="A232" s="424"/>
      <c r="B232" s="425"/>
      <c r="C232" s="425"/>
      <c r="D232" s="419"/>
      <c r="E232" s="426"/>
      <c r="F232" s="427"/>
      <c r="G232" s="422"/>
      <c r="H232" s="422"/>
      <c r="I232" s="422"/>
      <c r="J232" s="422"/>
      <c r="K232" s="422"/>
      <c r="L232" s="422"/>
      <c r="M232" s="422"/>
      <c r="N232" s="422"/>
      <c r="O232" s="422"/>
      <c r="P232" s="1153"/>
    </row>
    <row r="233" spans="1:16" ht="54.75" customHeight="1">
      <c r="A233" s="873" t="s">
        <v>394</v>
      </c>
      <c r="B233" s="595" t="s">
        <v>390</v>
      </c>
      <c r="C233" s="595" t="s">
        <v>42</v>
      </c>
      <c r="D233" s="596">
        <v>491</v>
      </c>
      <c r="E233" s="870">
        <v>613210</v>
      </c>
      <c r="F233" s="1104" t="s">
        <v>660</v>
      </c>
      <c r="G233" s="1154">
        <v>10000</v>
      </c>
      <c r="H233" s="1154"/>
      <c r="I233" s="1154"/>
      <c r="J233" s="1154">
        <f>G233+H233-I233</f>
        <v>10000</v>
      </c>
      <c r="K233" s="1154">
        <v>0</v>
      </c>
      <c r="L233" s="1154"/>
      <c r="M233" s="1154"/>
      <c r="N233" s="1154">
        <f>K233+L233-M233</f>
        <v>0</v>
      </c>
      <c r="O233" s="1154">
        <f>G233+K233</f>
        <v>10000</v>
      </c>
      <c r="P233" s="1155">
        <f>J233+N233</f>
        <v>10000</v>
      </c>
    </row>
    <row r="234" spans="1:16" ht="54.75" customHeight="1">
      <c r="A234" s="873" t="s">
        <v>394</v>
      </c>
      <c r="B234" s="595" t="s">
        <v>390</v>
      </c>
      <c r="C234" s="595" t="s">
        <v>42</v>
      </c>
      <c r="D234" s="596">
        <v>491</v>
      </c>
      <c r="E234" s="596">
        <v>613320</v>
      </c>
      <c r="F234" s="1104" t="s">
        <v>926</v>
      </c>
      <c r="G234" s="1154">
        <v>10000</v>
      </c>
      <c r="H234" s="1154"/>
      <c r="I234" s="1154"/>
      <c r="J234" s="1154">
        <f>G234+H234-I234</f>
        <v>10000</v>
      </c>
      <c r="K234" s="1154">
        <v>0</v>
      </c>
      <c r="L234" s="1154"/>
      <c r="M234" s="1154"/>
      <c r="N234" s="1154">
        <f>K234+L234-M234</f>
        <v>0</v>
      </c>
      <c r="O234" s="1154">
        <f>G234+K234</f>
        <v>10000</v>
      </c>
      <c r="P234" s="1155">
        <f>J234+N234</f>
        <v>10000</v>
      </c>
    </row>
    <row r="235" spans="1:16" ht="54.75" customHeight="1">
      <c r="A235" s="873" t="s">
        <v>394</v>
      </c>
      <c r="B235" s="595" t="s">
        <v>390</v>
      </c>
      <c r="C235" s="595" t="s">
        <v>42</v>
      </c>
      <c r="D235" s="596">
        <v>491</v>
      </c>
      <c r="E235" s="596" t="s">
        <v>651</v>
      </c>
      <c r="F235" s="592" t="s">
        <v>652</v>
      </c>
      <c r="G235" s="1154">
        <v>15000</v>
      </c>
      <c r="H235" s="1154"/>
      <c r="I235" s="1154"/>
      <c r="J235" s="1154">
        <f>G235+H235-I235</f>
        <v>15000</v>
      </c>
      <c r="K235" s="1154">
        <v>0</v>
      </c>
      <c r="L235" s="1154"/>
      <c r="M235" s="1154"/>
      <c r="N235" s="1154">
        <f>K235+L235-M235</f>
        <v>0</v>
      </c>
      <c r="O235" s="1154">
        <f>G235+K235</f>
        <v>15000</v>
      </c>
      <c r="P235" s="1155">
        <f>J235+N235</f>
        <v>15000</v>
      </c>
    </row>
    <row r="236" spans="1:16" ht="54.75" customHeight="1">
      <c r="A236" s="1064" t="s">
        <v>394</v>
      </c>
      <c r="B236" s="571" t="s">
        <v>390</v>
      </c>
      <c r="C236" s="571" t="s">
        <v>42</v>
      </c>
      <c r="D236" s="590">
        <v>491</v>
      </c>
      <c r="E236" s="590" t="s">
        <v>77</v>
      </c>
      <c r="F236" s="591" t="s">
        <v>78</v>
      </c>
      <c r="G236" s="1156">
        <v>2000</v>
      </c>
      <c r="H236" s="1156"/>
      <c r="I236" s="1156"/>
      <c r="J236" s="1156">
        <f>G236+H236-I236</f>
        <v>2000</v>
      </c>
      <c r="K236" s="1156">
        <v>0</v>
      </c>
      <c r="L236" s="1156"/>
      <c r="M236" s="1156"/>
      <c r="N236" s="1156">
        <f>K236+L236-M236</f>
        <v>0</v>
      </c>
      <c r="O236" s="1156">
        <f>G236+K236</f>
        <v>2000</v>
      </c>
      <c r="P236" s="1157">
        <f>J236+N236</f>
        <v>2000</v>
      </c>
    </row>
    <row r="237" spans="1:16" ht="54.75" customHeight="1">
      <c r="A237" s="1028" t="s">
        <v>394</v>
      </c>
      <c r="B237" s="905" t="s">
        <v>390</v>
      </c>
      <c r="C237" s="571" t="s">
        <v>42</v>
      </c>
      <c r="D237" s="590">
        <v>491</v>
      </c>
      <c r="E237" s="590">
        <v>613997</v>
      </c>
      <c r="F237" s="927" t="s">
        <v>189</v>
      </c>
      <c r="G237" s="1156">
        <v>70000</v>
      </c>
      <c r="H237" s="1156"/>
      <c r="I237" s="1156"/>
      <c r="J237" s="1156">
        <f>G237+H237-I237</f>
        <v>70000</v>
      </c>
      <c r="K237" s="1156">
        <v>0</v>
      </c>
      <c r="L237" s="1156"/>
      <c r="M237" s="1156"/>
      <c r="N237" s="1156">
        <f>K237+L237-M237</f>
        <v>0</v>
      </c>
      <c r="O237" s="1156">
        <f>G237+K237</f>
        <v>70000</v>
      </c>
      <c r="P237" s="1157">
        <f>J237+N237</f>
        <v>70000</v>
      </c>
    </row>
    <row r="238" spans="1:16" ht="54.75" customHeight="1">
      <c r="A238" s="652"/>
      <c r="B238" s="1029"/>
      <c r="C238" s="617"/>
      <c r="D238" s="653"/>
      <c r="E238" s="635">
        <v>820000</v>
      </c>
      <c r="F238" s="879" t="s">
        <v>527</v>
      </c>
      <c r="G238" s="1173"/>
      <c r="H238" s="1173"/>
      <c r="I238" s="1173"/>
      <c r="J238" s="1173"/>
      <c r="K238" s="1173"/>
      <c r="L238" s="1173"/>
      <c r="M238" s="1173"/>
      <c r="N238" s="1173"/>
      <c r="O238" s="1173"/>
      <c r="P238" s="1174"/>
    </row>
    <row r="239" spans="1:16" ht="68.25" customHeight="1">
      <c r="A239" s="1028" t="s">
        <v>394</v>
      </c>
      <c r="B239" s="905" t="s">
        <v>390</v>
      </c>
      <c r="C239" s="571" t="s">
        <v>42</v>
      </c>
      <c r="D239" s="590">
        <v>491</v>
      </c>
      <c r="E239" s="590" t="s">
        <v>850</v>
      </c>
      <c r="F239" s="592" t="s">
        <v>851</v>
      </c>
      <c r="G239" s="1156">
        <v>122422.36</v>
      </c>
      <c r="H239" s="1156"/>
      <c r="I239" s="1156"/>
      <c r="J239" s="1156">
        <f>G239+H239-I239</f>
        <v>122422.36</v>
      </c>
      <c r="K239" s="1156">
        <v>25000</v>
      </c>
      <c r="L239" s="1156"/>
      <c r="M239" s="1156"/>
      <c r="N239" s="1156">
        <f>K239+L239-M239</f>
        <v>25000</v>
      </c>
      <c r="O239" s="1156">
        <f>G239+K239</f>
        <v>147422.36</v>
      </c>
      <c r="P239" s="1157">
        <f>J239+N239</f>
        <v>147422.36</v>
      </c>
    </row>
    <row r="240" spans="1:16" ht="66.75" customHeight="1" thickBot="1">
      <c r="A240" s="1068"/>
      <c r="B240" s="1069"/>
      <c r="C240" s="1069"/>
      <c r="D240" s="1070"/>
      <c r="E240" s="1071"/>
      <c r="F240" s="1046" t="s">
        <v>1022</v>
      </c>
      <c r="G240" s="1160">
        <f aca="true" t="shared" si="37" ref="G240:P240">SUM(G233:G239,)</f>
        <v>229422.36</v>
      </c>
      <c r="H240" s="1160">
        <f t="shared" si="37"/>
        <v>0</v>
      </c>
      <c r="I240" s="1160">
        <f t="shared" si="37"/>
        <v>0</v>
      </c>
      <c r="J240" s="1160">
        <f t="shared" si="37"/>
        <v>229422.36</v>
      </c>
      <c r="K240" s="1160">
        <f t="shared" si="37"/>
        <v>25000</v>
      </c>
      <c r="L240" s="1160">
        <f t="shared" si="37"/>
        <v>0</v>
      </c>
      <c r="M240" s="1160">
        <f t="shared" si="37"/>
        <v>0</v>
      </c>
      <c r="N240" s="1160">
        <f t="shared" si="37"/>
        <v>25000</v>
      </c>
      <c r="O240" s="1161">
        <f t="shared" si="37"/>
        <v>254422.36</v>
      </c>
      <c r="P240" s="1162">
        <f t="shared" si="37"/>
        <v>254422.36</v>
      </c>
    </row>
    <row r="241" spans="1:16" ht="54.75" customHeight="1">
      <c r="A241" s="1020"/>
      <c r="B241" s="1020"/>
      <c r="C241" s="1020"/>
      <c r="D241" s="1024"/>
      <c r="E241" s="1025"/>
      <c r="F241" s="1026"/>
      <c r="G241" s="1027"/>
      <c r="H241" s="1027"/>
      <c r="I241" s="1027"/>
      <c r="J241" s="1027"/>
      <c r="K241" s="1027"/>
      <c r="L241" s="1027"/>
      <c r="M241" s="1027"/>
      <c r="N241" s="1027"/>
      <c r="O241" s="1027"/>
      <c r="P241" s="1027"/>
    </row>
    <row r="242" spans="1:16" ht="21" thickBot="1">
      <c r="A242" s="455"/>
      <c r="B242" s="455"/>
      <c r="C242" s="455"/>
      <c r="D242" s="456"/>
      <c r="E242" s="456"/>
      <c r="F242" s="594"/>
      <c r="G242" s="458"/>
      <c r="H242" s="458"/>
      <c r="I242" s="458"/>
      <c r="J242" s="458"/>
      <c r="K242" s="458"/>
      <c r="L242" s="458"/>
      <c r="M242" s="458"/>
      <c r="N242" s="458"/>
      <c r="O242" s="458"/>
      <c r="P242" s="458"/>
    </row>
    <row r="243" spans="1:16" ht="276" customHeight="1">
      <c r="A243" s="401" t="s">
        <v>494</v>
      </c>
      <c r="B243" s="402" t="s">
        <v>495</v>
      </c>
      <c r="C243" s="403" t="s">
        <v>687</v>
      </c>
      <c r="D243" s="404" t="s">
        <v>497</v>
      </c>
      <c r="E243" s="404" t="s">
        <v>188</v>
      </c>
      <c r="F243" s="405" t="s">
        <v>496</v>
      </c>
      <c r="G243" s="813" t="s">
        <v>1322</v>
      </c>
      <c r="H243" s="813" t="s">
        <v>1324</v>
      </c>
      <c r="I243" s="813" t="s">
        <v>1325</v>
      </c>
      <c r="J243" s="813" t="s">
        <v>1326</v>
      </c>
      <c r="K243" s="813" t="s">
        <v>1323</v>
      </c>
      <c r="L243" s="813" t="s">
        <v>1327</v>
      </c>
      <c r="M243" s="813" t="s">
        <v>1328</v>
      </c>
      <c r="N243" s="813" t="s">
        <v>1329</v>
      </c>
      <c r="O243" s="1278" t="s">
        <v>1321</v>
      </c>
      <c r="P243" s="1149" t="s">
        <v>1330</v>
      </c>
    </row>
    <row r="244" spans="1:16" ht="20.25">
      <c r="A244" s="1533">
        <v>0</v>
      </c>
      <c r="B244" s="1534"/>
      <c r="C244" s="1534"/>
      <c r="D244" s="409">
        <v>1</v>
      </c>
      <c r="E244" s="409">
        <v>2</v>
      </c>
      <c r="F244" s="410">
        <v>3</v>
      </c>
      <c r="G244" s="1150">
        <v>4</v>
      </c>
      <c r="H244" s="1150">
        <v>5</v>
      </c>
      <c r="I244" s="1150">
        <v>6</v>
      </c>
      <c r="J244" s="1150">
        <v>7</v>
      </c>
      <c r="K244" s="1150">
        <v>8</v>
      </c>
      <c r="L244" s="1150">
        <v>9</v>
      </c>
      <c r="M244" s="1150">
        <v>10</v>
      </c>
      <c r="N244" s="1150">
        <v>11</v>
      </c>
      <c r="O244" s="1150">
        <v>12</v>
      </c>
      <c r="P244" s="1151">
        <v>13</v>
      </c>
    </row>
    <row r="245" spans="1:16" ht="53.25" customHeight="1">
      <c r="A245" s="483" t="s">
        <v>394</v>
      </c>
      <c r="B245" s="484"/>
      <c r="C245" s="484"/>
      <c r="D245" s="413"/>
      <c r="E245" s="413"/>
      <c r="F245" s="566" t="s">
        <v>1035</v>
      </c>
      <c r="G245" s="415"/>
      <c r="H245" s="415"/>
      <c r="I245" s="415"/>
      <c r="J245" s="415"/>
      <c r="K245" s="415"/>
      <c r="L245" s="415"/>
      <c r="M245" s="415"/>
      <c r="N245" s="415"/>
      <c r="O245" s="415"/>
      <c r="P245" s="1152"/>
    </row>
    <row r="246" spans="1:16" ht="37.5" customHeight="1">
      <c r="A246" s="488" t="s">
        <v>394</v>
      </c>
      <c r="B246" s="489" t="s">
        <v>392</v>
      </c>
      <c r="C246" s="489"/>
      <c r="D246" s="420"/>
      <c r="E246" s="420"/>
      <c r="F246" s="492" t="s">
        <v>319</v>
      </c>
      <c r="G246" s="422"/>
      <c r="H246" s="422"/>
      <c r="I246" s="422"/>
      <c r="J246" s="422"/>
      <c r="K246" s="422"/>
      <c r="L246" s="422"/>
      <c r="M246" s="422"/>
      <c r="N246" s="422"/>
      <c r="O246" s="422"/>
      <c r="P246" s="1153"/>
    </row>
    <row r="247" spans="1:16" ht="39" customHeight="1">
      <c r="A247" s="424"/>
      <c r="B247" s="425"/>
      <c r="C247" s="425"/>
      <c r="D247" s="419"/>
      <c r="E247" s="426">
        <v>610000</v>
      </c>
      <c r="F247" s="495" t="s">
        <v>529</v>
      </c>
      <c r="G247" s="422"/>
      <c r="H247" s="422"/>
      <c r="I247" s="422"/>
      <c r="J247" s="422"/>
      <c r="K247" s="422"/>
      <c r="L247" s="422"/>
      <c r="M247" s="422"/>
      <c r="N247" s="422"/>
      <c r="O247" s="422"/>
      <c r="P247" s="1153"/>
    </row>
    <row r="248" spans="1:16" ht="39" customHeight="1">
      <c r="A248" s="1311" t="s">
        <v>394</v>
      </c>
      <c r="B248" s="1312" t="s">
        <v>392</v>
      </c>
      <c r="C248" s="1312" t="s">
        <v>391</v>
      </c>
      <c r="D248" s="1313">
        <v>1091</v>
      </c>
      <c r="E248" s="1313">
        <v>611100</v>
      </c>
      <c r="F248" s="1314" t="s">
        <v>962</v>
      </c>
      <c r="G248" s="1315">
        <v>803000</v>
      </c>
      <c r="H248" s="1315"/>
      <c r="I248" s="1315">
        <v>57000</v>
      </c>
      <c r="J248" s="1315">
        <f aca="true" t="shared" si="38" ref="J248:J264">G248+H248-I248</f>
        <v>746000</v>
      </c>
      <c r="K248" s="1315">
        <v>45000</v>
      </c>
      <c r="L248" s="1315"/>
      <c r="M248" s="1315"/>
      <c r="N248" s="1315">
        <f aca="true" t="shared" si="39" ref="N248:N264">K248+L248-M248</f>
        <v>45000</v>
      </c>
      <c r="O248" s="1315">
        <f aca="true" t="shared" si="40" ref="O248:O264">G248+K248</f>
        <v>848000</v>
      </c>
      <c r="P248" s="1316">
        <f aca="true" t="shared" si="41" ref="P248:P264">J248+N248</f>
        <v>791000</v>
      </c>
    </row>
    <row r="249" spans="1:16" ht="36" customHeight="1">
      <c r="A249" s="625" t="s">
        <v>394</v>
      </c>
      <c r="B249" s="595" t="s">
        <v>392</v>
      </c>
      <c r="C249" s="595" t="s">
        <v>391</v>
      </c>
      <c r="D249" s="596">
        <v>1091</v>
      </c>
      <c r="E249" s="596">
        <v>611200</v>
      </c>
      <c r="F249" s="943" t="s">
        <v>514</v>
      </c>
      <c r="G249" s="1154">
        <v>128000</v>
      </c>
      <c r="H249" s="1154"/>
      <c r="I249" s="1154"/>
      <c r="J249" s="1154">
        <f t="shared" si="38"/>
        <v>128000</v>
      </c>
      <c r="K249" s="1154">
        <v>0</v>
      </c>
      <c r="L249" s="1154"/>
      <c r="M249" s="1154"/>
      <c r="N249" s="1154">
        <f t="shared" si="39"/>
        <v>0</v>
      </c>
      <c r="O249" s="1154">
        <f t="shared" si="40"/>
        <v>128000</v>
      </c>
      <c r="P249" s="1155">
        <f t="shared" si="41"/>
        <v>128000</v>
      </c>
    </row>
    <row r="250" spans="1:16" ht="38.25" customHeight="1">
      <c r="A250" s="625" t="s">
        <v>394</v>
      </c>
      <c r="B250" s="595" t="s">
        <v>392</v>
      </c>
      <c r="C250" s="595" t="s">
        <v>391</v>
      </c>
      <c r="D250" s="596">
        <v>1091</v>
      </c>
      <c r="E250" s="464">
        <v>612000</v>
      </c>
      <c r="F250" s="943" t="s">
        <v>889</v>
      </c>
      <c r="G250" s="1154">
        <v>89000</v>
      </c>
      <c r="H250" s="1154"/>
      <c r="I250" s="1154"/>
      <c r="J250" s="1154">
        <f t="shared" si="38"/>
        <v>89000</v>
      </c>
      <c r="K250" s="1154">
        <v>1000</v>
      </c>
      <c r="L250" s="1154"/>
      <c r="M250" s="1154"/>
      <c r="N250" s="1154">
        <f t="shared" si="39"/>
        <v>1000</v>
      </c>
      <c r="O250" s="1154">
        <f t="shared" si="40"/>
        <v>90000</v>
      </c>
      <c r="P250" s="1155">
        <f t="shared" si="41"/>
        <v>90000</v>
      </c>
    </row>
    <row r="251" spans="1:16" ht="33.75" customHeight="1">
      <c r="A251" s="625" t="s">
        <v>394</v>
      </c>
      <c r="B251" s="595" t="s">
        <v>392</v>
      </c>
      <c r="C251" s="595" t="s">
        <v>391</v>
      </c>
      <c r="D251" s="596">
        <v>1091</v>
      </c>
      <c r="E251" s="464">
        <v>613100</v>
      </c>
      <c r="F251" s="943" t="s">
        <v>515</v>
      </c>
      <c r="G251" s="1154">
        <v>1000</v>
      </c>
      <c r="H251" s="1154"/>
      <c r="I251" s="1154"/>
      <c r="J251" s="1154">
        <f t="shared" si="38"/>
        <v>1000</v>
      </c>
      <c r="K251" s="1154">
        <v>1000</v>
      </c>
      <c r="L251" s="1154"/>
      <c r="M251" s="1154"/>
      <c r="N251" s="1154">
        <f t="shared" si="39"/>
        <v>1000</v>
      </c>
      <c r="O251" s="1154">
        <f t="shared" si="40"/>
        <v>2000</v>
      </c>
      <c r="P251" s="1155">
        <f t="shared" si="41"/>
        <v>2000</v>
      </c>
    </row>
    <row r="252" spans="1:16" ht="36.75" customHeight="1">
      <c r="A252" s="625" t="s">
        <v>394</v>
      </c>
      <c r="B252" s="595" t="s">
        <v>392</v>
      </c>
      <c r="C252" s="595" t="s">
        <v>391</v>
      </c>
      <c r="D252" s="596">
        <v>1091</v>
      </c>
      <c r="E252" s="464">
        <v>613210</v>
      </c>
      <c r="F252" s="627" t="s">
        <v>660</v>
      </c>
      <c r="G252" s="1154">
        <v>17000</v>
      </c>
      <c r="H252" s="1154"/>
      <c r="I252" s="1154"/>
      <c r="J252" s="1154">
        <f t="shared" si="38"/>
        <v>17000</v>
      </c>
      <c r="K252" s="1154">
        <v>2000</v>
      </c>
      <c r="L252" s="1154"/>
      <c r="M252" s="1154"/>
      <c r="N252" s="1154">
        <f t="shared" si="39"/>
        <v>2000</v>
      </c>
      <c r="O252" s="1154">
        <f t="shared" si="40"/>
        <v>19000</v>
      </c>
      <c r="P252" s="1155">
        <f t="shared" si="41"/>
        <v>19000</v>
      </c>
    </row>
    <row r="253" spans="1:16" ht="36.75" customHeight="1">
      <c r="A253" s="625" t="s">
        <v>394</v>
      </c>
      <c r="B253" s="595" t="s">
        <v>392</v>
      </c>
      <c r="C253" s="595" t="s">
        <v>391</v>
      </c>
      <c r="D253" s="596">
        <v>1091</v>
      </c>
      <c r="E253" s="464">
        <v>613310</v>
      </c>
      <c r="F253" s="465" t="s">
        <v>616</v>
      </c>
      <c r="G253" s="1154">
        <v>27000</v>
      </c>
      <c r="H253" s="1154"/>
      <c r="I253" s="1154"/>
      <c r="J253" s="1154">
        <f t="shared" si="38"/>
        <v>27000</v>
      </c>
      <c r="K253" s="1154">
        <v>4000</v>
      </c>
      <c r="L253" s="1154"/>
      <c r="M253" s="1154"/>
      <c r="N253" s="1154">
        <f t="shared" si="39"/>
        <v>4000</v>
      </c>
      <c r="O253" s="1154">
        <f t="shared" si="40"/>
        <v>31000</v>
      </c>
      <c r="P253" s="1155">
        <f t="shared" si="41"/>
        <v>31000</v>
      </c>
    </row>
    <row r="254" spans="1:16" ht="33.75" customHeight="1">
      <c r="A254" s="1311" t="s">
        <v>394</v>
      </c>
      <c r="B254" s="1312" t="s">
        <v>392</v>
      </c>
      <c r="C254" s="1312" t="s">
        <v>391</v>
      </c>
      <c r="D254" s="1313">
        <v>1091</v>
      </c>
      <c r="E254" s="1317">
        <v>613320</v>
      </c>
      <c r="F254" s="1318" t="s">
        <v>500</v>
      </c>
      <c r="G254" s="1315">
        <v>4000</v>
      </c>
      <c r="H254" s="1315">
        <v>2000</v>
      </c>
      <c r="I254" s="1315"/>
      <c r="J254" s="1315">
        <f t="shared" si="38"/>
        <v>6000</v>
      </c>
      <c r="K254" s="1315">
        <v>0</v>
      </c>
      <c r="L254" s="1315"/>
      <c r="M254" s="1315"/>
      <c r="N254" s="1315">
        <f t="shared" si="39"/>
        <v>0</v>
      </c>
      <c r="O254" s="1315">
        <f t="shared" si="40"/>
        <v>4000</v>
      </c>
      <c r="P254" s="1316">
        <f t="shared" si="41"/>
        <v>6000</v>
      </c>
    </row>
    <row r="255" spans="1:16" ht="36" customHeight="1">
      <c r="A255" s="625" t="s">
        <v>394</v>
      </c>
      <c r="B255" s="595" t="s">
        <v>392</v>
      </c>
      <c r="C255" s="595" t="s">
        <v>391</v>
      </c>
      <c r="D255" s="596">
        <v>1091</v>
      </c>
      <c r="E255" s="464">
        <v>613400</v>
      </c>
      <c r="F255" s="627" t="s">
        <v>501</v>
      </c>
      <c r="G255" s="1154">
        <v>10000</v>
      </c>
      <c r="H255" s="1154"/>
      <c r="I255" s="1154"/>
      <c r="J255" s="1154">
        <f t="shared" si="38"/>
        <v>10000</v>
      </c>
      <c r="K255" s="1154">
        <v>4000</v>
      </c>
      <c r="L255" s="1154"/>
      <c r="M255" s="1154"/>
      <c r="N255" s="1154">
        <f t="shared" si="39"/>
        <v>4000</v>
      </c>
      <c r="O255" s="1154">
        <f t="shared" si="40"/>
        <v>14000</v>
      </c>
      <c r="P255" s="1155">
        <f t="shared" si="41"/>
        <v>14000</v>
      </c>
    </row>
    <row r="256" spans="1:16" ht="37.5" customHeight="1">
      <c r="A256" s="625" t="s">
        <v>394</v>
      </c>
      <c r="B256" s="595" t="s">
        <v>392</v>
      </c>
      <c r="C256" s="595" t="s">
        <v>391</v>
      </c>
      <c r="D256" s="596">
        <v>1091</v>
      </c>
      <c r="E256" s="464">
        <v>613500</v>
      </c>
      <c r="F256" s="627" t="s">
        <v>661</v>
      </c>
      <c r="G256" s="1154">
        <v>6400</v>
      </c>
      <c r="H256" s="1154"/>
      <c r="I256" s="1154"/>
      <c r="J256" s="1154">
        <f t="shared" si="38"/>
        <v>6400</v>
      </c>
      <c r="K256" s="1154">
        <v>1000</v>
      </c>
      <c r="L256" s="1154"/>
      <c r="M256" s="1154"/>
      <c r="N256" s="1154">
        <f t="shared" si="39"/>
        <v>1000</v>
      </c>
      <c r="O256" s="1154">
        <f t="shared" si="40"/>
        <v>7400</v>
      </c>
      <c r="P256" s="1155">
        <f t="shared" si="41"/>
        <v>7400</v>
      </c>
    </row>
    <row r="257" spans="1:16" ht="34.5" customHeight="1">
      <c r="A257" s="625" t="s">
        <v>394</v>
      </c>
      <c r="B257" s="595" t="s">
        <v>392</v>
      </c>
      <c r="C257" s="595" t="s">
        <v>391</v>
      </c>
      <c r="D257" s="596">
        <v>1091</v>
      </c>
      <c r="E257" s="464">
        <v>613720</v>
      </c>
      <c r="F257" s="627" t="s">
        <v>530</v>
      </c>
      <c r="G257" s="1154">
        <v>5000</v>
      </c>
      <c r="H257" s="1154"/>
      <c r="I257" s="1154"/>
      <c r="J257" s="1154">
        <f t="shared" si="38"/>
        <v>5000</v>
      </c>
      <c r="K257" s="1154">
        <v>2000</v>
      </c>
      <c r="L257" s="1154"/>
      <c r="M257" s="1154"/>
      <c r="N257" s="1154">
        <f t="shared" si="39"/>
        <v>2000</v>
      </c>
      <c r="O257" s="1154">
        <f t="shared" si="40"/>
        <v>7000</v>
      </c>
      <c r="P257" s="1155">
        <f t="shared" si="41"/>
        <v>7000</v>
      </c>
    </row>
    <row r="258" spans="1:16" ht="35.25" customHeight="1">
      <c r="A258" s="625" t="s">
        <v>394</v>
      </c>
      <c r="B258" s="595" t="s">
        <v>392</v>
      </c>
      <c r="C258" s="595" t="s">
        <v>391</v>
      </c>
      <c r="D258" s="596">
        <v>1091</v>
      </c>
      <c r="E258" s="464">
        <v>613810</v>
      </c>
      <c r="F258" s="627" t="s">
        <v>240</v>
      </c>
      <c r="G258" s="1154">
        <v>3200</v>
      </c>
      <c r="H258" s="1154"/>
      <c r="I258" s="1154"/>
      <c r="J258" s="1154">
        <f t="shared" si="38"/>
        <v>3200</v>
      </c>
      <c r="K258" s="1154">
        <v>2000</v>
      </c>
      <c r="L258" s="1154"/>
      <c r="M258" s="1154"/>
      <c r="N258" s="1154">
        <f t="shared" si="39"/>
        <v>2000</v>
      </c>
      <c r="O258" s="1154">
        <f t="shared" si="40"/>
        <v>5200</v>
      </c>
      <c r="P258" s="1155">
        <f t="shared" si="41"/>
        <v>5200</v>
      </c>
    </row>
    <row r="259" spans="1:16" ht="36" customHeight="1">
      <c r="A259" s="1311" t="s">
        <v>394</v>
      </c>
      <c r="B259" s="1312" t="s">
        <v>392</v>
      </c>
      <c r="C259" s="1312" t="s">
        <v>391</v>
      </c>
      <c r="D259" s="1313">
        <v>1091</v>
      </c>
      <c r="E259" s="1317">
        <v>613910</v>
      </c>
      <c r="F259" s="1318" t="s">
        <v>502</v>
      </c>
      <c r="G259" s="1315">
        <v>11000</v>
      </c>
      <c r="H259" s="1315"/>
      <c r="I259" s="1315">
        <v>4000</v>
      </c>
      <c r="J259" s="1315">
        <f t="shared" si="38"/>
        <v>7000</v>
      </c>
      <c r="K259" s="1315">
        <v>1000</v>
      </c>
      <c r="L259" s="1315"/>
      <c r="M259" s="1315"/>
      <c r="N259" s="1315">
        <f t="shared" si="39"/>
        <v>1000</v>
      </c>
      <c r="O259" s="1315">
        <f t="shared" si="40"/>
        <v>12000</v>
      </c>
      <c r="P259" s="1316">
        <f t="shared" si="41"/>
        <v>8000</v>
      </c>
    </row>
    <row r="260" spans="1:16" ht="39" customHeight="1">
      <c r="A260" s="625" t="s">
        <v>394</v>
      </c>
      <c r="B260" s="595" t="s">
        <v>392</v>
      </c>
      <c r="C260" s="595" t="s">
        <v>391</v>
      </c>
      <c r="D260" s="596">
        <v>1091</v>
      </c>
      <c r="E260" s="464">
        <v>613934</v>
      </c>
      <c r="F260" s="628" t="s">
        <v>540</v>
      </c>
      <c r="G260" s="1154">
        <v>2000</v>
      </c>
      <c r="H260" s="1154"/>
      <c r="I260" s="1154"/>
      <c r="J260" s="1154">
        <f t="shared" si="38"/>
        <v>2000</v>
      </c>
      <c r="K260" s="1154">
        <v>3000</v>
      </c>
      <c r="L260" s="1154"/>
      <c r="M260" s="1154"/>
      <c r="N260" s="1154">
        <f t="shared" si="39"/>
        <v>3000</v>
      </c>
      <c r="O260" s="1154">
        <f t="shared" si="40"/>
        <v>5000</v>
      </c>
      <c r="P260" s="1155">
        <f t="shared" si="41"/>
        <v>5000</v>
      </c>
    </row>
    <row r="261" spans="1:16" ht="40.5" customHeight="1">
      <c r="A261" s="625" t="s">
        <v>394</v>
      </c>
      <c r="B261" s="595" t="s">
        <v>392</v>
      </c>
      <c r="C261" s="595" t="s">
        <v>391</v>
      </c>
      <c r="D261" s="596">
        <v>1091</v>
      </c>
      <c r="E261" s="580">
        <v>613960</v>
      </c>
      <c r="F261" s="597" t="s">
        <v>837</v>
      </c>
      <c r="G261" s="1154">
        <v>0</v>
      </c>
      <c r="H261" s="1154"/>
      <c r="I261" s="1154"/>
      <c r="J261" s="1154">
        <f t="shared" si="38"/>
        <v>0</v>
      </c>
      <c r="K261" s="1154">
        <v>1000</v>
      </c>
      <c r="L261" s="1154"/>
      <c r="M261" s="1154"/>
      <c r="N261" s="1154">
        <f t="shared" si="39"/>
        <v>1000</v>
      </c>
      <c r="O261" s="1154">
        <f t="shared" si="40"/>
        <v>1000</v>
      </c>
      <c r="P261" s="1155">
        <f t="shared" si="41"/>
        <v>1000</v>
      </c>
    </row>
    <row r="262" spans="1:16" ht="39" customHeight="1">
      <c r="A262" s="881" t="s">
        <v>394</v>
      </c>
      <c r="B262" s="882" t="s">
        <v>392</v>
      </c>
      <c r="C262" s="882" t="s">
        <v>391</v>
      </c>
      <c r="D262" s="596">
        <v>1091</v>
      </c>
      <c r="E262" s="580" t="s">
        <v>632</v>
      </c>
      <c r="F262" s="599" t="s">
        <v>526</v>
      </c>
      <c r="G262" s="1154">
        <v>4600</v>
      </c>
      <c r="H262" s="1154"/>
      <c r="I262" s="1154"/>
      <c r="J262" s="1154">
        <f t="shared" si="38"/>
        <v>4600</v>
      </c>
      <c r="K262" s="1154">
        <v>0</v>
      </c>
      <c r="L262" s="1154"/>
      <c r="M262" s="1154"/>
      <c r="N262" s="1154">
        <f t="shared" si="39"/>
        <v>0</v>
      </c>
      <c r="O262" s="1154">
        <f t="shared" si="40"/>
        <v>4600</v>
      </c>
      <c r="P262" s="1155">
        <f t="shared" si="41"/>
        <v>4600</v>
      </c>
    </row>
    <row r="263" spans="1:16" ht="36" customHeight="1">
      <c r="A263" s="629" t="s">
        <v>394</v>
      </c>
      <c r="B263" s="630" t="s">
        <v>392</v>
      </c>
      <c r="C263" s="630" t="s">
        <v>391</v>
      </c>
      <c r="D263" s="596">
        <v>1091</v>
      </c>
      <c r="E263" s="580" t="s">
        <v>621</v>
      </c>
      <c r="F263" s="627" t="s">
        <v>532</v>
      </c>
      <c r="G263" s="1154">
        <v>10000</v>
      </c>
      <c r="H263" s="1154"/>
      <c r="I263" s="1154"/>
      <c r="J263" s="1154">
        <f t="shared" si="38"/>
        <v>10000</v>
      </c>
      <c r="K263" s="1154">
        <v>5000</v>
      </c>
      <c r="L263" s="1154"/>
      <c r="M263" s="1154"/>
      <c r="N263" s="1154">
        <f t="shared" si="39"/>
        <v>5000</v>
      </c>
      <c r="O263" s="1154">
        <f t="shared" si="40"/>
        <v>15000</v>
      </c>
      <c r="P263" s="1155">
        <f t="shared" si="41"/>
        <v>15000</v>
      </c>
    </row>
    <row r="264" spans="1:16" ht="40.5" customHeight="1">
      <c r="A264" s="629" t="s">
        <v>394</v>
      </c>
      <c r="B264" s="630" t="s">
        <v>392</v>
      </c>
      <c r="C264" s="630" t="s">
        <v>391</v>
      </c>
      <c r="D264" s="596">
        <v>1091</v>
      </c>
      <c r="E264" s="464">
        <v>613995</v>
      </c>
      <c r="F264" s="598" t="s">
        <v>617</v>
      </c>
      <c r="G264" s="1154">
        <v>19000</v>
      </c>
      <c r="H264" s="1154"/>
      <c r="I264" s="1154"/>
      <c r="J264" s="1154">
        <f t="shared" si="38"/>
        <v>19000</v>
      </c>
      <c r="K264" s="1154">
        <v>0</v>
      </c>
      <c r="L264" s="1154"/>
      <c r="M264" s="1154"/>
      <c r="N264" s="1154">
        <f t="shared" si="39"/>
        <v>0</v>
      </c>
      <c r="O264" s="1154">
        <f t="shared" si="40"/>
        <v>19000</v>
      </c>
      <c r="P264" s="1155">
        <f t="shared" si="41"/>
        <v>19000</v>
      </c>
    </row>
    <row r="265" spans="1:16" ht="43.5" customHeight="1">
      <c r="A265" s="632"/>
      <c r="B265" s="633"/>
      <c r="C265" s="633"/>
      <c r="D265" s="634"/>
      <c r="E265" s="635">
        <v>820000</v>
      </c>
      <c r="F265" s="636" t="s">
        <v>527</v>
      </c>
      <c r="G265" s="1158"/>
      <c r="H265" s="1158"/>
      <c r="I265" s="1158"/>
      <c r="J265" s="1158"/>
      <c r="K265" s="1158"/>
      <c r="L265" s="1158"/>
      <c r="M265" s="1158"/>
      <c r="N265" s="1158"/>
      <c r="O265" s="1158"/>
      <c r="P265" s="1159"/>
    </row>
    <row r="266" spans="1:16" ht="39" customHeight="1">
      <c r="A266" s="1311" t="s">
        <v>394</v>
      </c>
      <c r="B266" s="1312" t="s">
        <v>392</v>
      </c>
      <c r="C266" s="1312" t="s">
        <v>391</v>
      </c>
      <c r="D266" s="1313">
        <v>1091</v>
      </c>
      <c r="E266" s="1313">
        <v>821300</v>
      </c>
      <c r="F266" s="1325" t="s">
        <v>528</v>
      </c>
      <c r="G266" s="1315">
        <v>5000</v>
      </c>
      <c r="H266" s="1315"/>
      <c r="I266" s="1315">
        <v>5000</v>
      </c>
      <c r="J266" s="1315">
        <f>G266+H266-I266</f>
        <v>0</v>
      </c>
      <c r="K266" s="1315">
        <v>3000</v>
      </c>
      <c r="L266" s="1315"/>
      <c r="M266" s="1315"/>
      <c r="N266" s="1315">
        <f>K266+L266-M266</f>
        <v>3000</v>
      </c>
      <c r="O266" s="1315">
        <f>G266+K266</f>
        <v>8000</v>
      </c>
      <c r="P266" s="1316">
        <f>J266+N266</f>
        <v>3000</v>
      </c>
    </row>
    <row r="267" spans="1:16" ht="39" customHeight="1">
      <c r="A267" s="1311" t="s">
        <v>394</v>
      </c>
      <c r="B267" s="1312" t="s">
        <v>392</v>
      </c>
      <c r="C267" s="1312" t="s">
        <v>391</v>
      </c>
      <c r="D267" s="1313">
        <v>1091</v>
      </c>
      <c r="E267" s="1385">
        <v>821614</v>
      </c>
      <c r="F267" s="1421" t="s">
        <v>745</v>
      </c>
      <c r="G267" s="1315">
        <v>5000</v>
      </c>
      <c r="H267" s="1315"/>
      <c r="I267" s="1315">
        <v>5000</v>
      </c>
      <c r="J267" s="1315">
        <f>G267+H267-I267</f>
        <v>0</v>
      </c>
      <c r="K267" s="1315">
        <v>0</v>
      </c>
      <c r="L267" s="1315"/>
      <c r="M267" s="1315"/>
      <c r="N267" s="1315">
        <f>K267+L267-M267</f>
        <v>0</v>
      </c>
      <c r="O267" s="1315">
        <f>G267+K267</f>
        <v>5000</v>
      </c>
      <c r="P267" s="1316">
        <f>J267+N267</f>
        <v>0</v>
      </c>
    </row>
    <row r="268" spans="1:16" ht="42.75" customHeight="1" thickBot="1">
      <c r="A268" s="583"/>
      <c r="B268" s="584"/>
      <c r="C268" s="584"/>
      <c r="D268" s="413"/>
      <c r="E268" s="413"/>
      <c r="F268" s="601" t="s">
        <v>177</v>
      </c>
      <c r="G268" s="1196">
        <f aca="true" t="shared" si="42" ref="G268:P268">SUM(G248:G267)</f>
        <v>1150200</v>
      </c>
      <c r="H268" s="1196">
        <f t="shared" si="42"/>
        <v>2000</v>
      </c>
      <c r="I268" s="1196">
        <f t="shared" si="42"/>
        <v>71000</v>
      </c>
      <c r="J268" s="1196">
        <f t="shared" si="42"/>
        <v>1081200</v>
      </c>
      <c r="K268" s="1196">
        <f t="shared" si="42"/>
        <v>75000</v>
      </c>
      <c r="L268" s="1196">
        <f t="shared" si="42"/>
        <v>0</v>
      </c>
      <c r="M268" s="1196">
        <f t="shared" si="42"/>
        <v>0</v>
      </c>
      <c r="N268" s="1196">
        <f t="shared" si="42"/>
        <v>75000</v>
      </c>
      <c r="O268" s="1197">
        <f t="shared" si="42"/>
        <v>1225200</v>
      </c>
      <c r="P268" s="1198">
        <f t="shared" si="42"/>
        <v>1156200</v>
      </c>
    </row>
    <row r="269" spans="1:16" ht="42.75" customHeight="1">
      <c r="A269" s="602"/>
      <c r="B269" s="603"/>
      <c r="C269" s="603"/>
      <c r="D269" s="604"/>
      <c r="E269" s="604"/>
      <c r="F269" s="518" t="s">
        <v>1142</v>
      </c>
      <c r="G269" s="1199"/>
      <c r="H269" s="1199"/>
      <c r="I269" s="1199"/>
      <c r="J269" s="1199"/>
      <c r="K269" s="1199"/>
      <c r="L269" s="1199"/>
      <c r="M269" s="1199"/>
      <c r="N269" s="1199"/>
      <c r="O269" s="1199"/>
      <c r="P269" s="1200"/>
    </row>
    <row r="270" spans="1:16" ht="42.75" customHeight="1" thickBot="1">
      <c r="A270" s="605"/>
      <c r="B270" s="470"/>
      <c r="C270" s="470"/>
      <c r="D270" s="472"/>
      <c r="E270" s="472"/>
      <c r="F270" s="473" t="s">
        <v>1076</v>
      </c>
      <c r="G270" s="1177"/>
      <c r="H270" s="1177"/>
      <c r="I270" s="1177"/>
      <c r="J270" s="1177"/>
      <c r="K270" s="1177"/>
      <c r="L270" s="1177"/>
      <c r="M270" s="1177"/>
      <c r="N270" s="1177"/>
      <c r="O270" s="1177">
        <v>37</v>
      </c>
      <c r="P270" s="1178"/>
    </row>
    <row r="271" spans="1:16" s="606" customFormat="1" ht="45" customHeight="1" thickBot="1">
      <c r="A271" s="585"/>
      <c r="B271" s="475"/>
      <c r="C271" s="475"/>
      <c r="D271" s="477"/>
      <c r="E271" s="477"/>
      <c r="F271" s="515" t="s">
        <v>834</v>
      </c>
      <c r="G271" s="1201"/>
      <c r="H271" s="1201"/>
      <c r="I271" s="1201"/>
      <c r="J271" s="1201"/>
      <c r="K271" s="1201"/>
      <c r="L271" s="1201"/>
      <c r="M271" s="1201"/>
      <c r="N271" s="1201"/>
      <c r="O271" s="1201">
        <v>83</v>
      </c>
      <c r="P271" s="1202"/>
    </row>
    <row r="272" spans="1:16" s="527" customFormat="1" ht="277.5" customHeight="1">
      <c r="A272" s="401" t="s">
        <v>494</v>
      </c>
      <c r="B272" s="402" t="s">
        <v>495</v>
      </c>
      <c r="C272" s="403" t="s">
        <v>687</v>
      </c>
      <c r="D272" s="404" t="s">
        <v>497</v>
      </c>
      <c r="E272" s="404" t="s">
        <v>188</v>
      </c>
      <c r="F272" s="405" t="s">
        <v>496</v>
      </c>
      <c r="G272" s="813" t="s">
        <v>1322</v>
      </c>
      <c r="H272" s="813" t="s">
        <v>1324</v>
      </c>
      <c r="I272" s="813" t="s">
        <v>1325</v>
      </c>
      <c r="J272" s="813" t="s">
        <v>1326</v>
      </c>
      <c r="K272" s="813" t="s">
        <v>1323</v>
      </c>
      <c r="L272" s="813" t="s">
        <v>1327</v>
      </c>
      <c r="M272" s="813" t="s">
        <v>1328</v>
      </c>
      <c r="N272" s="813" t="s">
        <v>1329</v>
      </c>
      <c r="O272" s="1278" t="s">
        <v>1321</v>
      </c>
      <c r="P272" s="1149" t="s">
        <v>1330</v>
      </c>
    </row>
    <row r="273" spans="1:16" ht="20.25">
      <c r="A273" s="1533">
        <v>0</v>
      </c>
      <c r="B273" s="1534"/>
      <c r="C273" s="1534"/>
      <c r="D273" s="409">
        <v>1</v>
      </c>
      <c r="E273" s="409">
        <v>2</v>
      </c>
      <c r="F273" s="410">
        <v>3</v>
      </c>
      <c r="G273" s="1150">
        <v>4</v>
      </c>
      <c r="H273" s="1150">
        <v>5</v>
      </c>
      <c r="I273" s="1150">
        <v>6</v>
      </c>
      <c r="J273" s="1150">
        <v>7</v>
      </c>
      <c r="K273" s="1150">
        <v>8</v>
      </c>
      <c r="L273" s="1150">
        <v>9</v>
      </c>
      <c r="M273" s="1150">
        <v>10</v>
      </c>
      <c r="N273" s="1150">
        <v>11</v>
      </c>
      <c r="O273" s="1150">
        <v>12</v>
      </c>
      <c r="P273" s="1151">
        <v>13</v>
      </c>
    </row>
    <row r="274" spans="1:16" ht="59.25" customHeight="1">
      <c r="A274" s="483" t="s">
        <v>394</v>
      </c>
      <c r="B274" s="484"/>
      <c r="C274" s="484"/>
      <c r="D274" s="413"/>
      <c r="E274" s="413"/>
      <c r="F274" s="566" t="s">
        <v>1035</v>
      </c>
      <c r="G274" s="415"/>
      <c r="H274" s="415"/>
      <c r="I274" s="415"/>
      <c r="J274" s="415"/>
      <c r="K274" s="415"/>
      <c r="L274" s="415"/>
      <c r="M274" s="415"/>
      <c r="N274" s="415"/>
      <c r="O274" s="415"/>
      <c r="P274" s="1152"/>
    </row>
    <row r="275" spans="1:16" ht="57" customHeight="1">
      <c r="A275" s="488" t="s">
        <v>394</v>
      </c>
      <c r="B275" s="489" t="s">
        <v>394</v>
      </c>
      <c r="C275" s="489"/>
      <c r="D275" s="420"/>
      <c r="E275" s="420"/>
      <c r="F275" s="492" t="s">
        <v>320</v>
      </c>
      <c r="G275" s="422"/>
      <c r="H275" s="422"/>
      <c r="I275" s="422"/>
      <c r="J275" s="422"/>
      <c r="K275" s="422"/>
      <c r="L275" s="422"/>
      <c r="M275" s="422"/>
      <c r="N275" s="422"/>
      <c r="O275" s="422"/>
      <c r="P275" s="1153"/>
    </row>
    <row r="276" spans="1:16" ht="38.25" customHeight="1">
      <c r="A276" s="424"/>
      <c r="B276" s="425"/>
      <c r="C276" s="425"/>
      <c r="D276" s="419"/>
      <c r="E276" s="426">
        <v>610000</v>
      </c>
      <c r="F276" s="495" t="s">
        <v>529</v>
      </c>
      <c r="G276" s="422"/>
      <c r="H276" s="422"/>
      <c r="I276" s="422"/>
      <c r="J276" s="422"/>
      <c r="K276" s="422"/>
      <c r="L276" s="422"/>
      <c r="M276" s="422"/>
      <c r="N276" s="422"/>
      <c r="O276" s="422"/>
      <c r="P276" s="1153"/>
    </row>
    <row r="277" spans="1:16" ht="45" customHeight="1">
      <c r="A277" s="1311" t="s">
        <v>394</v>
      </c>
      <c r="B277" s="1312" t="s">
        <v>394</v>
      </c>
      <c r="C277" s="1312" t="s">
        <v>391</v>
      </c>
      <c r="D277" s="1313">
        <v>911</v>
      </c>
      <c r="E277" s="1313">
        <v>611100</v>
      </c>
      <c r="F277" s="1314" t="s">
        <v>962</v>
      </c>
      <c r="G277" s="1315">
        <v>1470000</v>
      </c>
      <c r="H277" s="1315">
        <v>100000</v>
      </c>
      <c r="I277" s="1315"/>
      <c r="J277" s="1315">
        <f aca="true" t="shared" si="43" ref="J277:J292">G277+H277-I277</f>
        <v>1570000</v>
      </c>
      <c r="K277" s="1315">
        <v>913900</v>
      </c>
      <c r="L277" s="1315"/>
      <c r="M277" s="1315">
        <v>100000</v>
      </c>
      <c r="N277" s="1315">
        <f aca="true" t="shared" si="44" ref="N277:N292">K277+L277-M277</f>
        <v>813900</v>
      </c>
      <c r="O277" s="1315">
        <f aca="true" t="shared" si="45" ref="O277:O292">G277+K277</f>
        <v>2383900</v>
      </c>
      <c r="P277" s="1316">
        <f aca="true" t="shared" si="46" ref="P277:P292">J277+N277</f>
        <v>2383900</v>
      </c>
    </row>
    <row r="278" spans="1:16" ht="40.5" customHeight="1">
      <c r="A278" s="625" t="s">
        <v>394</v>
      </c>
      <c r="B278" s="595" t="s">
        <v>394</v>
      </c>
      <c r="C278" s="595" t="s">
        <v>391</v>
      </c>
      <c r="D278" s="596">
        <v>911</v>
      </c>
      <c r="E278" s="596">
        <v>611200</v>
      </c>
      <c r="F278" s="943" t="s">
        <v>514</v>
      </c>
      <c r="G278" s="1154">
        <v>0</v>
      </c>
      <c r="H278" s="1154"/>
      <c r="I278" s="1154"/>
      <c r="J278" s="1154">
        <f t="shared" si="43"/>
        <v>0</v>
      </c>
      <c r="K278" s="1154">
        <v>424730</v>
      </c>
      <c r="L278" s="1154"/>
      <c r="M278" s="1154"/>
      <c r="N278" s="1154">
        <f t="shared" si="44"/>
        <v>424730</v>
      </c>
      <c r="O278" s="1154">
        <f t="shared" si="45"/>
        <v>424730</v>
      </c>
      <c r="P278" s="1155">
        <f t="shared" si="46"/>
        <v>424730</v>
      </c>
    </row>
    <row r="279" spans="1:16" ht="36" customHeight="1">
      <c r="A279" s="625" t="s">
        <v>394</v>
      </c>
      <c r="B279" s="595" t="s">
        <v>394</v>
      </c>
      <c r="C279" s="595" t="s">
        <v>391</v>
      </c>
      <c r="D279" s="596">
        <v>911</v>
      </c>
      <c r="E279" s="464">
        <v>612000</v>
      </c>
      <c r="F279" s="943" t="s">
        <v>889</v>
      </c>
      <c r="G279" s="1154">
        <v>0</v>
      </c>
      <c r="H279" s="1154"/>
      <c r="I279" s="1154"/>
      <c r="J279" s="1154">
        <f t="shared" si="43"/>
        <v>0</v>
      </c>
      <c r="K279" s="1154">
        <v>256400</v>
      </c>
      <c r="L279" s="1154"/>
      <c r="M279" s="1154"/>
      <c r="N279" s="1154">
        <f t="shared" si="44"/>
        <v>256400</v>
      </c>
      <c r="O279" s="1154">
        <f t="shared" si="45"/>
        <v>256400</v>
      </c>
      <c r="P279" s="1155">
        <f t="shared" si="46"/>
        <v>256400</v>
      </c>
    </row>
    <row r="280" spans="1:16" ht="36.75" customHeight="1">
      <c r="A280" s="625" t="s">
        <v>394</v>
      </c>
      <c r="B280" s="595" t="s">
        <v>394</v>
      </c>
      <c r="C280" s="595" t="s">
        <v>391</v>
      </c>
      <c r="D280" s="596">
        <v>911</v>
      </c>
      <c r="E280" s="464">
        <v>613100</v>
      </c>
      <c r="F280" s="943" t="s">
        <v>515</v>
      </c>
      <c r="G280" s="1154">
        <v>0</v>
      </c>
      <c r="H280" s="1154"/>
      <c r="I280" s="1154"/>
      <c r="J280" s="1154">
        <f t="shared" si="43"/>
        <v>0</v>
      </c>
      <c r="K280" s="1154">
        <v>1310</v>
      </c>
      <c r="L280" s="1154"/>
      <c r="M280" s="1154"/>
      <c r="N280" s="1154">
        <f t="shared" si="44"/>
        <v>1310</v>
      </c>
      <c r="O280" s="1154">
        <f t="shared" si="45"/>
        <v>1310</v>
      </c>
      <c r="P280" s="1155">
        <f t="shared" si="46"/>
        <v>1310</v>
      </c>
    </row>
    <row r="281" spans="1:16" ht="35.25" customHeight="1">
      <c r="A281" s="625" t="s">
        <v>394</v>
      </c>
      <c r="B281" s="595" t="s">
        <v>394</v>
      </c>
      <c r="C281" s="595" t="s">
        <v>391</v>
      </c>
      <c r="D281" s="596">
        <v>911</v>
      </c>
      <c r="E281" s="464">
        <v>613210</v>
      </c>
      <c r="F281" s="943" t="s">
        <v>660</v>
      </c>
      <c r="G281" s="1154">
        <v>0</v>
      </c>
      <c r="H281" s="1154"/>
      <c r="I281" s="1154"/>
      <c r="J281" s="1154">
        <f t="shared" si="43"/>
        <v>0</v>
      </c>
      <c r="K281" s="1154">
        <v>95000</v>
      </c>
      <c r="L281" s="1154"/>
      <c r="M281" s="1154"/>
      <c r="N281" s="1154">
        <f t="shared" si="44"/>
        <v>95000</v>
      </c>
      <c r="O281" s="1154">
        <f t="shared" si="45"/>
        <v>95000</v>
      </c>
      <c r="P281" s="1155">
        <f t="shared" si="46"/>
        <v>95000</v>
      </c>
    </row>
    <row r="282" spans="1:16" ht="35.25" customHeight="1">
      <c r="A282" s="625" t="s">
        <v>394</v>
      </c>
      <c r="B282" s="595" t="s">
        <v>394</v>
      </c>
      <c r="C282" s="595" t="s">
        <v>391</v>
      </c>
      <c r="D282" s="596">
        <v>911</v>
      </c>
      <c r="E282" s="464">
        <v>613310</v>
      </c>
      <c r="F282" s="465" t="s">
        <v>616</v>
      </c>
      <c r="G282" s="1154">
        <v>0</v>
      </c>
      <c r="H282" s="1154"/>
      <c r="I282" s="1154"/>
      <c r="J282" s="1154">
        <f t="shared" si="43"/>
        <v>0</v>
      </c>
      <c r="K282" s="1154">
        <v>13500</v>
      </c>
      <c r="L282" s="1154"/>
      <c r="M282" s="1154"/>
      <c r="N282" s="1154">
        <f t="shared" si="44"/>
        <v>13500</v>
      </c>
      <c r="O282" s="1154">
        <f t="shared" si="45"/>
        <v>13500</v>
      </c>
      <c r="P282" s="1155">
        <f t="shared" si="46"/>
        <v>13500</v>
      </c>
    </row>
    <row r="283" spans="1:16" ht="33" customHeight="1">
      <c r="A283" s="625" t="s">
        <v>394</v>
      </c>
      <c r="B283" s="595" t="s">
        <v>394</v>
      </c>
      <c r="C283" s="595" t="s">
        <v>391</v>
      </c>
      <c r="D283" s="596">
        <v>911</v>
      </c>
      <c r="E283" s="464">
        <v>613320</v>
      </c>
      <c r="F283" s="943" t="s">
        <v>500</v>
      </c>
      <c r="G283" s="1154">
        <v>0</v>
      </c>
      <c r="H283" s="1154"/>
      <c r="I283" s="1154"/>
      <c r="J283" s="1154">
        <f t="shared" si="43"/>
        <v>0</v>
      </c>
      <c r="K283" s="1154">
        <v>36000</v>
      </c>
      <c r="L283" s="1154"/>
      <c r="M283" s="1154"/>
      <c r="N283" s="1154">
        <f t="shared" si="44"/>
        <v>36000</v>
      </c>
      <c r="O283" s="1154">
        <f t="shared" si="45"/>
        <v>36000</v>
      </c>
      <c r="P283" s="1155">
        <f t="shared" si="46"/>
        <v>36000</v>
      </c>
    </row>
    <row r="284" spans="1:16" ht="33" customHeight="1">
      <c r="A284" s="625" t="s">
        <v>394</v>
      </c>
      <c r="B284" s="595" t="s">
        <v>394</v>
      </c>
      <c r="C284" s="595" t="s">
        <v>391</v>
      </c>
      <c r="D284" s="596">
        <v>911</v>
      </c>
      <c r="E284" s="464">
        <v>613400</v>
      </c>
      <c r="F284" s="943" t="s">
        <v>501</v>
      </c>
      <c r="G284" s="1154">
        <v>0</v>
      </c>
      <c r="H284" s="1154"/>
      <c r="I284" s="1154"/>
      <c r="J284" s="1154">
        <f t="shared" si="43"/>
        <v>0</v>
      </c>
      <c r="K284" s="1154">
        <v>300418</v>
      </c>
      <c r="L284" s="1154"/>
      <c r="M284" s="1154"/>
      <c r="N284" s="1154">
        <f t="shared" si="44"/>
        <v>300418</v>
      </c>
      <c r="O284" s="1154">
        <f t="shared" si="45"/>
        <v>300418</v>
      </c>
      <c r="P284" s="1155">
        <f t="shared" si="46"/>
        <v>300418</v>
      </c>
    </row>
    <row r="285" spans="1:16" ht="34.5" customHeight="1">
      <c r="A285" s="625" t="s">
        <v>394</v>
      </c>
      <c r="B285" s="595" t="s">
        <v>394</v>
      </c>
      <c r="C285" s="595" t="s">
        <v>391</v>
      </c>
      <c r="D285" s="596">
        <v>911</v>
      </c>
      <c r="E285" s="464">
        <v>613500</v>
      </c>
      <c r="F285" s="943" t="s">
        <v>419</v>
      </c>
      <c r="G285" s="1154">
        <v>0</v>
      </c>
      <c r="H285" s="1154"/>
      <c r="I285" s="1154"/>
      <c r="J285" s="1154">
        <f t="shared" si="43"/>
        <v>0</v>
      </c>
      <c r="K285" s="1154">
        <v>8000</v>
      </c>
      <c r="L285" s="1154"/>
      <c r="M285" s="1154"/>
      <c r="N285" s="1154">
        <f t="shared" si="44"/>
        <v>8000</v>
      </c>
      <c r="O285" s="1154">
        <f t="shared" si="45"/>
        <v>8000</v>
      </c>
      <c r="P285" s="1155">
        <f t="shared" si="46"/>
        <v>8000</v>
      </c>
    </row>
    <row r="286" spans="1:16" ht="37.5" customHeight="1">
      <c r="A286" s="625" t="s">
        <v>394</v>
      </c>
      <c r="B286" s="595" t="s">
        <v>394</v>
      </c>
      <c r="C286" s="595" t="s">
        <v>391</v>
      </c>
      <c r="D286" s="596">
        <v>911</v>
      </c>
      <c r="E286" s="464">
        <v>613720</v>
      </c>
      <c r="F286" s="943" t="s">
        <v>530</v>
      </c>
      <c r="G286" s="1154">
        <v>0</v>
      </c>
      <c r="H286" s="1154"/>
      <c r="I286" s="1154"/>
      <c r="J286" s="1154">
        <f t="shared" si="43"/>
        <v>0</v>
      </c>
      <c r="K286" s="1154">
        <v>21947.6</v>
      </c>
      <c r="L286" s="1154"/>
      <c r="M286" s="1154"/>
      <c r="N286" s="1154">
        <f t="shared" si="44"/>
        <v>21947.6</v>
      </c>
      <c r="O286" s="1154">
        <f t="shared" si="45"/>
        <v>21947.6</v>
      </c>
      <c r="P286" s="1155">
        <f t="shared" si="46"/>
        <v>21947.6</v>
      </c>
    </row>
    <row r="287" spans="1:16" ht="36" customHeight="1">
      <c r="A287" s="625" t="s">
        <v>394</v>
      </c>
      <c r="B287" s="595" t="s">
        <v>394</v>
      </c>
      <c r="C287" s="595" t="s">
        <v>391</v>
      </c>
      <c r="D287" s="596">
        <v>911</v>
      </c>
      <c r="E287" s="464">
        <v>613810</v>
      </c>
      <c r="F287" s="943" t="s">
        <v>241</v>
      </c>
      <c r="G287" s="1154">
        <v>0</v>
      </c>
      <c r="H287" s="1154"/>
      <c r="I287" s="1154"/>
      <c r="J287" s="1154">
        <f t="shared" si="43"/>
        <v>0</v>
      </c>
      <c r="K287" s="1154">
        <v>8000</v>
      </c>
      <c r="L287" s="1154"/>
      <c r="M287" s="1154"/>
      <c r="N287" s="1154">
        <f t="shared" si="44"/>
        <v>8000</v>
      </c>
      <c r="O287" s="1154">
        <f t="shared" si="45"/>
        <v>8000</v>
      </c>
      <c r="P287" s="1155">
        <f t="shared" si="46"/>
        <v>8000</v>
      </c>
    </row>
    <row r="288" spans="1:16" ht="39" customHeight="1">
      <c r="A288" s="625" t="s">
        <v>394</v>
      </c>
      <c r="B288" s="595" t="s">
        <v>394</v>
      </c>
      <c r="C288" s="595" t="s">
        <v>391</v>
      </c>
      <c r="D288" s="596">
        <v>911</v>
      </c>
      <c r="E288" s="464">
        <v>613910</v>
      </c>
      <c r="F288" s="943" t="s">
        <v>502</v>
      </c>
      <c r="G288" s="1154">
        <v>0</v>
      </c>
      <c r="H288" s="1154"/>
      <c r="I288" s="1154"/>
      <c r="J288" s="1154">
        <f t="shared" si="43"/>
        <v>0</v>
      </c>
      <c r="K288" s="1154">
        <v>95500</v>
      </c>
      <c r="L288" s="1154"/>
      <c r="M288" s="1154"/>
      <c r="N288" s="1154">
        <f t="shared" si="44"/>
        <v>95500</v>
      </c>
      <c r="O288" s="1154">
        <f t="shared" si="45"/>
        <v>95500</v>
      </c>
      <c r="P288" s="1155">
        <f t="shared" si="46"/>
        <v>95500</v>
      </c>
    </row>
    <row r="289" spans="1:16" ht="34.5" customHeight="1">
      <c r="A289" s="625" t="s">
        <v>394</v>
      </c>
      <c r="B289" s="595" t="s">
        <v>394</v>
      </c>
      <c r="C289" s="595" t="s">
        <v>391</v>
      </c>
      <c r="D289" s="596">
        <v>911</v>
      </c>
      <c r="E289" s="464">
        <v>613934</v>
      </c>
      <c r="F289" s="628" t="s">
        <v>540</v>
      </c>
      <c r="G289" s="1154">
        <v>0</v>
      </c>
      <c r="H289" s="1154"/>
      <c r="I289" s="1154"/>
      <c r="J289" s="1154">
        <f t="shared" si="43"/>
        <v>0</v>
      </c>
      <c r="K289" s="1154">
        <v>5000</v>
      </c>
      <c r="L289" s="1154"/>
      <c r="M289" s="1154"/>
      <c r="N289" s="1154">
        <f t="shared" si="44"/>
        <v>5000</v>
      </c>
      <c r="O289" s="1154">
        <f t="shared" si="45"/>
        <v>5000</v>
      </c>
      <c r="P289" s="1155">
        <f t="shared" si="46"/>
        <v>5000</v>
      </c>
    </row>
    <row r="290" spans="1:16" ht="34.5" customHeight="1">
      <c r="A290" s="625" t="s">
        <v>394</v>
      </c>
      <c r="B290" s="595" t="s">
        <v>394</v>
      </c>
      <c r="C290" s="595" t="s">
        <v>391</v>
      </c>
      <c r="D290" s="596">
        <v>911</v>
      </c>
      <c r="E290" s="580" t="s">
        <v>632</v>
      </c>
      <c r="F290" s="631" t="s">
        <v>526</v>
      </c>
      <c r="G290" s="1154">
        <v>0</v>
      </c>
      <c r="H290" s="1154"/>
      <c r="I290" s="1154"/>
      <c r="J290" s="1154">
        <f t="shared" si="43"/>
        <v>0</v>
      </c>
      <c r="K290" s="1154">
        <v>5160</v>
      </c>
      <c r="L290" s="1154"/>
      <c r="M290" s="1154"/>
      <c r="N290" s="1154">
        <f t="shared" si="44"/>
        <v>5160</v>
      </c>
      <c r="O290" s="1154">
        <f t="shared" si="45"/>
        <v>5160</v>
      </c>
      <c r="P290" s="1155">
        <f t="shared" si="46"/>
        <v>5160</v>
      </c>
    </row>
    <row r="291" spans="1:16" ht="37.5" customHeight="1">
      <c r="A291" s="625" t="s">
        <v>394</v>
      </c>
      <c r="B291" s="595" t="s">
        <v>394</v>
      </c>
      <c r="C291" s="595" t="s">
        <v>391</v>
      </c>
      <c r="D291" s="596">
        <v>911</v>
      </c>
      <c r="E291" s="580" t="s">
        <v>621</v>
      </c>
      <c r="F291" s="943" t="s">
        <v>517</v>
      </c>
      <c r="G291" s="1154">
        <v>0</v>
      </c>
      <c r="H291" s="1154"/>
      <c r="I291" s="1154"/>
      <c r="J291" s="1154">
        <f t="shared" si="43"/>
        <v>0</v>
      </c>
      <c r="K291" s="1154">
        <v>8000</v>
      </c>
      <c r="L291" s="1154"/>
      <c r="M291" s="1154"/>
      <c r="N291" s="1154">
        <f t="shared" si="44"/>
        <v>8000</v>
      </c>
      <c r="O291" s="1154">
        <f t="shared" si="45"/>
        <v>8000</v>
      </c>
      <c r="P291" s="1155">
        <f t="shared" si="46"/>
        <v>8000</v>
      </c>
    </row>
    <row r="292" spans="1:16" ht="37.5" customHeight="1">
      <c r="A292" s="625" t="s">
        <v>394</v>
      </c>
      <c r="B292" s="595" t="s">
        <v>394</v>
      </c>
      <c r="C292" s="595" t="s">
        <v>391</v>
      </c>
      <c r="D292" s="596">
        <v>911</v>
      </c>
      <c r="E292" s="580">
        <v>613995</v>
      </c>
      <c r="F292" s="631" t="s">
        <v>617</v>
      </c>
      <c r="G292" s="1154">
        <v>0</v>
      </c>
      <c r="H292" s="1154"/>
      <c r="I292" s="1154"/>
      <c r="J292" s="1154">
        <f t="shared" si="43"/>
        <v>0</v>
      </c>
      <c r="K292" s="1154">
        <v>8000</v>
      </c>
      <c r="L292" s="1154"/>
      <c r="M292" s="1154"/>
      <c r="N292" s="1154">
        <f t="shared" si="44"/>
        <v>8000</v>
      </c>
      <c r="O292" s="1154">
        <f t="shared" si="45"/>
        <v>8000</v>
      </c>
      <c r="P292" s="1155">
        <f t="shared" si="46"/>
        <v>8000</v>
      </c>
    </row>
    <row r="293" spans="1:16" ht="45" customHeight="1">
      <c r="A293" s="632"/>
      <c r="B293" s="633"/>
      <c r="C293" s="633"/>
      <c r="D293" s="634"/>
      <c r="E293" s="635">
        <v>820000</v>
      </c>
      <c r="F293" s="636" t="s">
        <v>527</v>
      </c>
      <c r="G293" s="1158"/>
      <c r="H293" s="1158"/>
      <c r="I293" s="1158"/>
      <c r="J293" s="1158"/>
      <c r="K293" s="1158"/>
      <c r="L293" s="1158"/>
      <c r="M293" s="1158"/>
      <c r="N293" s="1158"/>
      <c r="O293" s="1158"/>
      <c r="P293" s="1159"/>
    </row>
    <row r="294" spans="1:16" ht="45" customHeight="1">
      <c r="A294" s="625" t="s">
        <v>394</v>
      </c>
      <c r="B294" s="595" t="s">
        <v>394</v>
      </c>
      <c r="C294" s="595" t="s">
        <v>391</v>
      </c>
      <c r="D294" s="596">
        <v>911</v>
      </c>
      <c r="E294" s="596">
        <v>821300</v>
      </c>
      <c r="F294" s="637" t="s">
        <v>528</v>
      </c>
      <c r="G294" s="1154">
        <v>0</v>
      </c>
      <c r="H294" s="1154"/>
      <c r="I294" s="1154"/>
      <c r="J294" s="1154">
        <f>G294+H294-I294</f>
        <v>0</v>
      </c>
      <c r="K294" s="1154">
        <v>26181</v>
      </c>
      <c r="L294" s="1154"/>
      <c r="M294" s="1154"/>
      <c r="N294" s="1154">
        <f>K294+L294-M294</f>
        <v>26181</v>
      </c>
      <c r="O294" s="1154">
        <f>G294+K294</f>
        <v>26181</v>
      </c>
      <c r="P294" s="1155">
        <f>J294+N294</f>
        <v>26181</v>
      </c>
    </row>
    <row r="295" spans="1:16" ht="39" customHeight="1">
      <c r="A295" s="625" t="s">
        <v>394</v>
      </c>
      <c r="B295" s="595" t="s">
        <v>394</v>
      </c>
      <c r="C295" s="595" t="s">
        <v>391</v>
      </c>
      <c r="D295" s="596">
        <v>911</v>
      </c>
      <c r="E295" s="596">
        <v>821624</v>
      </c>
      <c r="F295" s="637" t="s">
        <v>921</v>
      </c>
      <c r="G295" s="1154">
        <v>0</v>
      </c>
      <c r="H295" s="1154"/>
      <c r="I295" s="1154"/>
      <c r="J295" s="1154">
        <f>G295+H295-I295</f>
        <v>0</v>
      </c>
      <c r="K295" s="1154">
        <v>50000</v>
      </c>
      <c r="L295" s="1154"/>
      <c r="M295" s="1154"/>
      <c r="N295" s="1154">
        <f>K295+L295-M295</f>
        <v>50000</v>
      </c>
      <c r="O295" s="1154">
        <f>G295+K295</f>
        <v>50000</v>
      </c>
      <c r="P295" s="1155">
        <f>J295+N295</f>
        <v>50000</v>
      </c>
    </row>
    <row r="296" spans="1:16" ht="54" customHeight="1" thickBot="1">
      <c r="A296" s="539"/>
      <c r="B296" s="540"/>
      <c r="C296" s="540"/>
      <c r="D296" s="453"/>
      <c r="E296" s="453"/>
      <c r="F296" s="562" t="s">
        <v>178</v>
      </c>
      <c r="G296" s="1160">
        <f aca="true" t="shared" si="47" ref="G296:P296">SUM(G277:G295)</f>
        <v>1470000</v>
      </c>
      <c r="H296" s="1160">
        <f t="shared" si="47"/>
        <v>100000</v>
      </c>
      <c r="I296" s="1160">
        <f t="shared" si="47"/>
        <v>0</v>
      </c>
      <c r="J296" s="1160">
        <f t="shared" si="47"/>
        <v>1570000</v>
      </c>
      <c r="K296" s="1160">
        <f t="shared" si="47"/>
        <v>2277046.6</v>
      </c>
      <c r="L296" s="1160">
        <f t="shared" si="47"/>
        <v>0</v>
      </c>
      <c r="M296" s="1160">
        <f t="shared" si="47"/>
        <v>100000</v>
      </c>
      <c r="N296" s="1160">
        <f t="shared" si="47"/>
        <v>2177046.6</v>
      </c>
      <c r="O296" s="1161">
        <f t="shared" si="47"/>
        <v>3747046.6</v>
      </c>
      <c r="P296" s="1162">
        <f t="shared" si="47"/>
        <v>3747046.6</v>
      </c>
    </row>
    <row r="297" spans="1:16" ht="45.75" customHeight="1">
      <c r="A297" s="552"/>
      <c r="B297" s="553"/>
      <c r="C297" s="553"/>
      <c r="D297" s="420"/>
      <c r="E297" s="420"/>
      <c r="F297" s="518" t="s">
        <v>1142</v>
      </c>
      <c r="G297" s="1175"/>
      <c r="H297" s="1175"/>
      <c r="I297" s="1175"/>
      <c r="J297" s="1175"/>
      <c r="K297" s="1175"/>
      <c r="L297" s="1175"/>
      <c r="M297" s="1175"/>
      <c r="N297" s="1175"/>
      <c r="O297" s="1175"/>
      <c r="P297" s="1176"/>
    </row>
    <row r="298" spans="1:16" ht="42" customHeight="1">
      <c r="A298" s="552"/>
      <c r="B298" s="553"/>
      <c r="C298" s="553"/>
      <c r="D298" s="420"/>
      <c r="E298" s="420"/>
      <c r="F298" s="473" t="s">
        <v>1076</v>
      </c>
      <c r="G298" s="1177"/>
      <c r="H298" s="1177"/>
      <c r="I298" s="1177"/>
      <c r="J298" s="1177"/>
      <c r="K298" s="1177"/>
      <c r="L298" s="1177"/>
      <c r="M298" s="1177"/>
      <c r="N298" s="1177"/>
      <c r="O298" s="1177">
        <v>148</v>
      </c>
      <c r="P298" s="1178"/>
    </row>
    <row r="299" spans="1:16" s="519" customFormat="1" ht="45.75" customHeight="1" thickBot="1">
      <c r="A299" s="585"/>
      <c r="B299" s="475"/>
      <c r="C299" s="475"/>
      <c r="D299" s="477"/>
      <c r="E299" s="477"/>
      <c r="F299" s="515" t="s">
        <v>834</v>
      </c>
      <c r="G299" s="1201"/>
      <c r="H299" s="1201"/>
      <c r="I299" s="1201"/>
      <c r="J299" s="1201"/>
      <c r="K299" s="1201"/>
      <c r="L299" s="1201"/>
      <c r="M299" s="1201"/>
      <c r="N299" s="1201"/>
      <c r="O299" s="1201">
        <v>173</v>
      </c>
      <c r="P299" s="1202"/>
    </row>
    <row r="300" spans="1:16" s="527" customFormat="1" ht="274.5" customHeight="1">
      <c r="A300" s="401" t="s">
        <v>494</v>
      </c>
      <c r="B300" s="402" t="s">
        <v>495</v>
      </c>
      <c r="C300" s="403" t="s">
        <v>687</v>
      </c>
      <c r="D300" s="404" t="s">
        <v>497</v>
      </c>
      <c r="E300" s="404" t="s">
        <v>188</v>
      </c>
      <c r="F300" s="405" t="s">
        <v>496</v>
      </c>
      <c r="G300" s="813" t="s">
        <v>1322</v>
      </c>
      <c r="H300" s="813" t="s">
        <v>1324</v>
      </c>
      <c r="I300" s="813" t="s">
        <v>1325</v>
      </c>
      <c r="J300" s="813" t="s">
        <v>1326</v>
      </c>
      <c r="K300" s="813" t="s">
        <v>1323</v>
      </c>
      <c r="L300" s="813" t="s">
        <v>1327</v>
      </c>
      <c r="M300" s="813" t="s">
        <v>1328</v>
      </c>
      <c r="N300" s="813" t="s">
        <v>1329</v>
      </c>
      <c r="O300" s="1278" t="s">
        <v>1321</v>
      </c>
      <c r="P300" s="1149" t="s">
        <v>1330</v>
      </c>
    </row>
    <row r="301" spans="1:16" ht="20.25">
      <c r="A301" s="1533">
        <v>0</v>
      </c>
      <c r="B301" s="1534"/>
      <c r="C301" s="1534"/>
      <c r="D301" s="409">
        <v>1</v>
      </c>
      <c r="E301" s="409">
        <v>2</v>
      </c>
      <c r="F301" s="410">
        <v>3</v>
      </c>
      <c r="G301" s="1150">
        <v>4</v>
      </c>
      <c r="H301" s="1150">
        <v>5</v>
      </c>
      <c r="I301" s="1150">
        <v>6</v>
      </c>
      <c r="J301" s="1150">
        <v>7</v>
      </c>
      <c r="K301" s="1150">
        <v>8</v>
      </c>
      <c r="L301" s="1150">
        <v>9</v>
      </c>
      <c r="M301" s="1150">
        <v>10</v>
      </c>
      <c r="N301" s="1150">
        <v>11</v>
      </c>
      <c r="O301" s="1150">
        <v>12</v>
      </c>
      <c r="P301" s="1151">
        <v>13</v>
      </c>
    </row>
    <row r="302" spans="1:16" ht="65.25" customHeight="1">
      <c r="A302" s="483" t="s">
        <v>394</v>
      </c>
      <c r="B302" s="484"/>
      <c r="C302" s="484"/>
      <c r="D302" s="413"/>
      <c r="E302" s="413"/>
      <c r="F302" s="566" t="s">
        <v>1035</v>
      </c>
      <c r="G302" s="415"/>
      <c r="H302" s="415"/>
      <c r="I302" s="415"/>
      <c r="J302" s="415"/>
      <c r="K302" s="415"/>
      <c r="L302" s="415"/>
      <c r="M302" s="415"/>
      <c r="N302" s="415"/>
      <c r="O302" s="415"/>
      <c r="P302" s="1152"/>
    </row>
    <row r="303" spans="1:16" ht="37.5" customHeight="1">
      <c r="A303" s="488" t="s">
        <v>394</v>
      </c>
      <c r="B303" s="489" t="s">
        <v>395</v>
      </c>
      <c r="C303" s="489"/>
      <c r="D303" s="420"/>
      <c r="E303" s="420"/>
      <c r="F303" s="421" t="s">
        <v>491</v>
      </c>
      <c r="G303" s="422"/>
      <c r="H303" s="422"/>
      <c r="I303" s="422"/>
      <c r="J303" s="422"/>
      <c r="K303" s="422"/>
      <c r="L303" s="422"/>
      <c r="M303" s="422"/>
      <c r="N303" s="422"/>
      <c r="O303" s="422"/>
      <c r="P303" s="1153"/>
    </row>
    <row r="304" spans="1:16" ht="39" customHeight="1">
      <c r="A304" s="424"/>
      <c r="B304" s="425"/>
      <c r="C304" s="425"/>
      <c r="D304" s="419"/>
      <c r="E304" s="426">
        <v>610000</v>
      </c>
      <c r="F304" s="495" t="s">
        <v>529</v>
      </c>
      <c r="G304" s="422"/>
      <c r="H304" s="422"/>
      <c r="I304" s="422"/>
      <c r="J304" s="422"/>
      <c r="K304" s="422"/>
      <c r="L304" s="422"/>
      <c r="M304" s="422"/>
      <c r="N304" s="422"/>
      <c r="O304" s="422"/>
      <c r="P304" s="1153"/>
    </row>
    <row r="305" spans="1:16" ht="49.5" customHeight="1">
      <c r="A305" s="1311" t="s">
        <v>394</v>
      </c>
      <c r="B305" s="1312" t="s">
        <v>395</v>
      </c>
      <c r="C305" s="1312" t="s">
        <v>391</v>
      </c>
      <c r="D305" s="1313">
        <v>811</v>
      </c>
      <c r="E305" s="1313">
        <v>611100</v>
      </c>
      <c r="F305" s="1314" t="s">
        <v>962</v>
      </c>
      <c r="G305" s="1315">
        <v>122000</v>
      </c>
      <c r="H305" s="1315">
        <v>27000</v>
      </c>
      <c r="I305" s="1315"/>
      <c r="J305" s="1315">
        <f aca="true" t="shared" si="48" ref="J305:J319">G305+H305-I305</f>
        <v>149000</v>
      </c>
      <c r="K305" s="1315">
        <v>76000</v>
      </c>
      <c r="L305" s="1315"/>
      <c r="M305" s="1315"/>
      <c r="N305" s="1315">
        <f aca="true" t="shared" si="49" ref="N305:N319">K305+L305-M305</f>
        <v>76000</v>
      </c>
      <c r="O305" s="1315">
        <f aca="true" t="shared" si="50" ref="O305:O319">G305+K305</f>
        <v>198000</v>
      </c>
      <c r="P305" s="1316">
        <f aca="true" t="shared" si="51" ref="P305:P319">J305+N305</f>
        <v>225000</v>
      </c>
    </row>
    <row r="306" spans="1:16" ht="34.5" customHeight="1">
      <c r="A306" s="625" t="s">
        <v>394</v>
      </c>
      <c r="B306" s="595" t="s">
        <v>395</v>
      </c>
      <c r="C306" s="595" t="s">
        <v>391</v>
      </c>
      <c r="D306" s="596">
        <v>811</v>
      </c>
      <c r="E306" s="596">
        <v>611200</v>
      </c>
      <c r="F306" s="627" t="s">
        <v>514</v>
      </c>
      <c r="G306" s="1154">
        <v>21000</v>
      </c>
      <c r="H306" s="1154"/>
      <c r="I306" s="1154"/>
      <c r="J306" s="1154">
        <f t="shared" si="48"/>
        <v>21000</v>
      </c>
      <c r="K306" s="1154">
        <v>13000</v>
      </c>
      <c r="L306" s="1154"/>
      <c r="M306" s="1154"/>
      <c r="N306" s="1154">
        <f t="shared" si="49"/>
        <v>13000</v>
      </c>
      <c r="O306" s="1154">
        <f t="shared" si="50"/>
        <v>34000</v>
      </c>
      <c r="P306" s="1155">
        <f t="shared" si="51"/>
        <v>34000</v>
      </c>
    </row>
    <row r="307" spans="1:16" ht="39" customHeight="1">
      <c r="A307" s="1311" t="s">
        <v>394</v>
      </c>
      <c r="B307" s="1312" t="s">
        <v>395</v>
      </c>
      <c r="C307" s="1312" t="s">
        <v>391</v>
      </c>
      <c r="D307" s="1313">
        <v>811</v>
      </c>
      <c r="E307" s="1317">
        <v>612000</v>
      </c>
      <c r="F307" s="1318" t="s">
        <v>889</v>
      </c>
      <c r="G307" s="1315">
        <v>11000</v>
      </c>
      <c r="H307" s="1315">
        <v>3000</v>
      </c>
      <c r="I307" s="1315"/>
      <c r="J307" s="1315">
        <f t="shared" si="48"/>
        <v>14000</v>
      </c>
      <c r="K307" s="1315">
        <v>13000</v>
      </c>
      <c r="L307" s="1315"/>
      <c r="M307" s="1315"/>
      <c r="N307" s="1315">
        <f t="shared" si="49"/>
        <v>13000</v>
      </c>
      <c r="O307" s="1315">
        <f t="shared" si="50"/>
        <v>24000</v>
      </c>
      <c r="P307" s="1316">
        <f t="shared" si="51"/>
        <v>27000</v>
      </c>
    </row>
    <row r="308" spans="1:16" ht="36" customHeight="1">
      <c r="A308" s="625" t="s">
        <v>394</v>
      </c>
      <c r="B308" s="595" t="s">
        <v>395</v>
      </c>
      <c r="C308" s="595" t="s">
        <v>391</v>
      </c>
      <c r="D308" s="596">
        <v>811</v>
      </c>
      <c r="E308" s="464">
        <v>613100</v>
      </c>
      <c r="F308" s="627" t="s">
        <v>515</v>
      </c>
      <c r="G308" s="1154">
        <v>0</v>
      </c>
      <c r="H308" s="1154"/>
      <c r="I308" s="1154"/>
      <c r="J308" s="1154">
        <f t="shared" si="48"/>
        <v>0</v>
      </c>
      <c r="K308" s="1154">
        <v>2500</v>
      </c>
      <c r="L308" s="1154"/>
      <c r="M308" s="1154"/>
      <c r="N308" s="1154">
        <f t="shared" si="49"/>
        <v>2500</v>
      </c>
      <c r="O308" s="1154">
        <f t="shared" si="50"/>
        <v>2500</v>
      </c>
      <c r="P308" s="1155">
        <f t="shared" si="51"/>
        <v>2500</v>
      </c>
    </row>
    <row r="309" spans="1:16" ht="37.5" customHeight="1">
      <c r="A309" s="625" t="s">
        <v>394</v>
      </c>
      <c r="B309" s="595" t="s">
        <v>395</v>
      </c>
      <c r="C309" s="595" t="s">
        <v>391</v>
      </c>
      <c r="D309" s="596">
        <v>811</v>
      </c>
      <c r="E309" s="464">
        <v>613210</v>
      </c>
      <c r="F309" s="627" t="s">
        <v>660</v>
      </c>
      <c r="G309" s="1154">
        <v>3000</v>
      </c>
      <c r="H309" s="1154"/>
      <c r="I309" s="1154"/>
      <c r="J309" s="1154">
        <f t="shared" si="48"/>
        <v>3000</v>
      </c>
      <c r="K309" s="1154">
        <v>42000</v>
      </c>
      <c r="L309" s="1154"/>
      <c r="M309" s="1154"/>
      <c r="N309" s="1154">
        <f t="shared" si="49"/>
        <v>42000</v>
      </c>
      <c r="O309" s="1154">
        <f t="shared" si="50"/>
        <v>45000</v>
      </c>
      <c r="P309" s="1155">
        <f t="shared" si="51"/>
        <v>45000</v>
      </c>
    </row>
    <row r="310" spans="1:16" ht="39" customHeight="1">
      <c r="A310" s="873" t="s">
        <v>394</v>
      </c>
      <c r="B310" s="595" t="s">
        <v>395</v>
      </c>
      <c r="C310" s="595" t="s">
        <v>391</v>
      </c>
      <c r="D310" s="596">
        <v>811</v>
      </c>
      <c r="E310" s="464">
        <v>613310</v>
      </c>
      <c r="F310" s="465" t="s">
        <v>616</v>
      </c>
      <c r="G310" s="1154">
        <v>2000</v>
      </c>
      <c r="H310" s="1154"/>
      <c r="I310" s="1154"/>
      <c r="J310" s="1154">
        <f t="shared" si="48"/>
        <v>2000</v>
      </c>
      <c r="K310" s="1154">
        <v>5000</v>
      </c>
      <c r="L310" s="1154"/>
      <c r="M310" s="1154"/>
      <c r="N310" s="1154">
        <f t="shared" si="49"/>
        <v>5000</v>
      </c>
      <c r="O310" s="1154">
        <f t="shared" si="50"/>
        <v>7000</v>
      </c>
      <c r="P310" s="1155">
        <f t="shared" si="51"/>
        <v>7000</v>
      </c>
    </row>
    <row r="311" spans="1:16" ht="36" customHeight="1">
      <c r="A311" s="625" t="s">
        <v>394</v>
      </c>
      <c r="B311" s="595" t="s">
        <v>395</v>
      </c>
      <c r="C311" s="595" t="s">
        <v>391</v>
      </c>
      <c r="D311" s="596">
        <v>811</v>
      </c>
      <c r="E311" s="464">
        <v>613320</v>
      </c>
      <c r="F311" s="627" t="s">
        <v>500</v>
      </c>
      <c r="G311" s="1154">
        <v>2000</v>
      </c>
      <c r="H311" s="1154"/>
      <c r="I311" s="1154"/>
      <c r="J311" s="1154">
        <f t="shared" si="48"/>
        <v>2000</v>
      </c>
      <c r="K311" s="1154">
        <v>17000</v>
      </c>
      <c r="L311" s="1154"/>
      <c r="M311" s="1154"/>
      <c r="N311" s="1154">
        <f t="shared" si="49"/>
        <v>17000</v>
      </c>
      <c r="O311" s="1154">
        <f t="shared" si="50"/>
        <v>19000</v>
      </c>
      <c r="P311" s="1155">
        <f t="shared" si="51"/>
        <v>19000</v>
      </c>
    </row>
    <row r="312" spans="1:16" ht="36" customHeight="1">
      <c r="A312" s="625" t="s">
        <v>394</v>
      </c>
      <c r="B312" s="595" t="s">
        <v>395</v>
      </c>
      <c r="C312" s="595" t="s">
        <v>391</v>
      </c>
      <c r="D312" s="596">
        <v>811</v>
      </c>
      <c r="E312" s="464">
        <v>613400</v>
      </c>
      <c r="F312" s="627" t="s">
        <v>501</v>
      </c>
      <c r="G312" s="1154">
        <v>0</v>
      </c>
      <c r="H312" s="1154"/>
      <c r="I312" s="1154"/>
      <c r="J312" s="1154">
        <f t="shared" si="48"/>
        <v>0</v>
      </c>
      <c r="K312" s="1154">
        <v>10000</v>
      </c>
      <c r="L312" s="1154"/>
      <c r="M312" s="1154"/>
      <c r="N312" s="1154">
        <f t="shared" si="49"/>
        <v>10000</v>
      </c>
      <c r="O312" s="1154">
        <f t="shared" si="50"/>
        <v>10000</v>
      </c>
      <c r="P312" s="1155">
        <f t="shared" si="51"/>
        <v>10000</v>
      </c>
    </row>
    <row r="313" spans="1:16" ht="37.5" customHeight="1">
      <c r="A313" s="625" t="s">
        <v>394</v>
      </c>
      <c r="B313" s="595" t="s">
        <v>395</v>
      </c>
      <c r="C313" s="595" t="s">
        <v>391</v>
      </c>
      <c r="D313" s="596">
        <v>811</v>
      </c>
      <c r="E313" s="464">
        <v>613500</v>
      </c>
      <c r="F313" s="627" t="s">
        <v>661</v>
      </c>
      <c r="G313" s="1154">
        <v>0</v>
      </c>
      <c r="H313" s="1154"/>
      <c r="I313" s="1154"/>
      <c r="J313" s="1154">
        <f t="shared" si="48"/>
        <v>0</v>
      </c>
      <c r="K313" s="1154">
        <v>3200</v>
      </c>
      <c r="L313" s="1154"/>
      <c r="M313" s="1154"/>
      <c r="N313" s="1154">
        <f t="shared" si="49"/>
        <v>3200</v>
      </c>
      <c r="O313" s="1154">
        <f t="shared" si="50"/>
        <v>3200</v>
      </c>
      <c r="P313" s="1155">
        <f t="shared" si="51"/>
        <v>3200</v>
      </c>
    </row>
    <row r="314" spans="1:16" ht="36" customHeight="1">
      <c r="A314" s="625" t="s">
        <v>394</v>
      </c>
      <c r="B314" s="595" t="s">
        <v>395</v>
      </c>
      <c r="C314" s="595" t="s">
        <v>391</v>
      </c>
      <c r="D314" s="596">
        <v>811</v>
      </c>
      <c r="E314" s="464">
        <v>613720</v>
      </c>
      <c r="F314" s="627" t="s">
        <v>530</v>
      </c>
      <c r="G314" s="1154">
        <v>0</v>
      </c>
      <c r="H314" s="1154"/>
      <c r="I314" s="1154"/>
      <c r="J314" s="1154">
        <f t="shared" si="48"/>
        <v>0</v>
      </c>
      <c r="K314" s="1154">
        <v>9000</v>
      </c>
      <c r="L314" s="1154"/>
      <c r="M314" s="1154"/>
      <c r="N314" s="1154">
        <f t="shared" si="49"/>
        <v>9000</v>
      </c>
      <c r="O314" s="1154">
        <f t="shared" si="50"/>
        <v>9000</v>
      </c>
      <c r="P314" s="1155">
        <f t="shared" si="51"/>
        <v>9000</v>
      </c>
    </row>
    <row r="315" spans="1:16" ht="36" customHeight="1">
      <c r="A315" s="625" t="s">
        <v>394</v>
      </c>
      <c r="B315" s="595" t="s">
        <v>395</v>
      </c>
      <c r="C315" s="595" t="s">
        <v>391</v>
      </c>
      <c r="D315" s="596">
        <v>811</v>
      </c>
      <c r="E315" s="464">
        <v>613810</v>
      </c>
      <c r="F315" s="627" t="s">
        <v>240</v>
      </c>
      <c r="G315" s="1154">
        <v>500</v>
      </c>
      <c r="H315" s="1154"/>
      <c r="I315" s="1154"/>
      <c r="J315" s="1154">
        <f t="shared" si="48"/>
        <v>500</v>
      </c>
      <c r="K315" s="1154">
        <v>300</v>
      </c>
      <c r="L315" s="1154"/>
      <c r="M315" s="1154"/>
      <c r="N315" s="1154">
        <f t="shared" si="49"/>
        <v>300</v>
      </c>
      <c r="O315" s="1154">
        <f t="shared" si="50"/>
        <v>800</v>
      </c>
      <c r="P315" s="1155">
        <f t="shared" si="51"/>
        <v>800</v>
      </c>
    </row>
    <row r="316" spans="1:16" ht="37.5" customHeight="1">
      <c r="A316" s="625" t="s">
        <v>394</v>
      </c>
      <c r="B316" s="595" t="s">
        <v>395</v>
      </c>
      <c r="C316" s="595" t="s">
        <v>391</v>
      </c>
      <c r="D316" s="596">
        <v>811</v>
      </c>
      <c r="E316" s="464">
        <v>613910</v>
      </c>
      <c r="F316" s="943" t="s">
        <v>502</v>
      </c>
      <c r="G316" s="1154">
        <v>0</v>
      </c>
      <c r="H316" s="1154"/>
      <c r="I316" s="1154"/>
      <c r="J316" s="1154">
        <f t="shared" si="48"/>
        <v>0</v>
      </c>
      <c r="K316" s="1154">
        <v>6000</v>
      </c>
      <c r="L316" s="1154"/>
      <c r="M316" s="1154"/>
      <c r="N316" s="1154">
        <f t="shared" si="49"/>
        <v>6000</v>
      </c>
      <c r="O316" s="1154">
        <f t="shared" si="50"/>
        <v>6000</v>
      </c>
      <c r="P316" s="1155">
        <f t="shared" si="51"/>
        <v>6000</v>
      </c>
    </row>
    <row r="317" spans="1:16" ht="36" customHeight="1">
      <c r="A317" s="625" t="s">
        <v>394</v>
      </c>
      <c r="B317" s="595" t="s">
        <v>395</v>
      </c>
      <c r="C317" s="595" t="s">
        <v>391</v>
      </c>
      <c r="D317" s="596">
        <v>811</v>
      </c>
      <c r="E317" s="580" t="s">
        <v>621</v>
      </c>
      <c r="F317" s="627" t="s">
        <v>517</v>
      </c>
      <c r="G317" s="1154">
        <v>8000</v>
      </c>
      <c r="H317" s="1154"/>
      <c r="I317" s="1154"/>
      <c r="J317" s="1154">
        <f t="shared" si="48"/>
        <v>8000</v>
      </c>
      <c r="K317" s="1154">
        <v>6000</v>
      </c>
      <c r="L317" s="1154"/>
      <c r="M317" s="1154"/>
      <c r="N317" s="1154">
        <f t="shared" si="49"/>
        <v>6000</v>
      </c>
      <c r="O317" s="1154">
        <f t="shared" si="50"/>
        <v>14000</v>
      </c>
      <c r="P317" s="1155">
        <f t="shared" si="51"/>
        <v>14000</v>
      </c>
    </row>
    <row r="318" spans="1:16" ht="39" customHeight="1">
      <c r="A318" s="625" t="s">
        <v>394</v>
      </c>
      <c r="B318" s="595" t="s">
        <v>395</v>
      </c>
      <c r="C318" s="595" t="s">
        <v>391</v>
      </c>
      <c r="D318" s="596">
        <v>811</v>
      </c>
      <c r="E318" s="580" t="s">
        <v>388</v>
      </c>
      <c r="F318" s="599" t="s">
        <v>458</v>
      </c>
      <c r="G318" s="1154">
        <v>0</v>
      </c>
      <c r="H318" s="1154"/>
      <c r="I318" s="1154"/>
      <c r="J318" s="1154">
        <f t="shared" si="48"/>
        <v>0</v>
      </c>
      <c r="K318" s="1154">
        <v>2000</v>
      </c>
      <c r="L318" s="1154"/>
      <c r="M318" s="1154"/>
      <c r="N318" s="1154">
        <f t="shared" si="49"/>
        <v>2000</v>
      </c>
      <c r="O318" s="1154">
        <f t="shared" si="50"/>
        <v>2000</v>
      </c>
      <c r="P318" s="1155">
        <f t="shared" si="51"/>
        <v>2000</v>
      </c>
    </row>
    <row r="319" spans="1:16" ht="39" customHeight="1">
      <c r="A319" s="625" t="s">
        <v>394</v>
      </c>
      <c r="B319" s="595" t="s">
        <v>395</v>
      </c>
      <c r="C319" s="595" t="s">
        <v>391</v>
      </c>
      <c r="D319" s="596">
        <v>811</v>
      </c>
      <c r="E319" s="580">
        <v>613997</v>
      </c>
      <c r="F319" s="599" t="s">
        <v>189</v>
      </c>
      <c r="G319" s="1154">
        <v>0</v>
      </c>
      <c r="H319" s="1154"/>
      <c r="I319" s="1154"/>
      <c r="J319" s="1154">
        <f t="shared" si="48"/>
        <v>0</v>
      </c>
      <c r="K319" s="1154">
        <v>37000</v>
      </c>
      <c r="L319" s="1154"/>
      <c r="M319" s="1154"/>
      <c r="N319" s="1154">
        <f t="shared" si="49"/>
        <v>37000</v>
      </c>
      <c r="O319" s="1154">
        <f t="shared" si="50"/>
        <v>37000</v>
      </c>
      <c r="P319" s="1155">
        <f t="shared" si="51"/>
        <v>37000</v>
      </c>
    </row>
    <row r="320" spans="1:16" ht="48" customHeight="1">
      <c r="A320" s="632"/>
      <c r="B320" s="633"/>
      <c r="C320" s="633"/>
      <c r="D320" s="634"/>
      <c r="E320" s="635">
        <v>820000</v>
      </c>
      <c r="F320" s="636" t="s">
        <v>527</v>
      </c>
      <c r="G320" s="1158"/>
      <c r="H320" s="1158"/>
      <c r="I320" s="1158"/>
      <c r="J320" s="1158"/>
      <c r="K320" s="1158"/>
      <c r="L320" s="1158"/>
      <c r="M320" s="1158"/>
      <c r="N320" s="1158"/>
      <c r="O320" s="1158"/>
      <c r="P320" s="1159"/>
    </row>
    <row r="321" spans="1:16" ht="48" customHeight="1">
      <c r="A321" s="625" t="s">
        <v>394</v>
      </c>
      <c r="B321" s="595" t="s">
        <v>395</v>
      </c>
      <c r="C321" s="595" t="s">
        <v>391</v>
      </c>
      <c r="D321" s="596">
        <v>811</v>
      </c>
      <c r="E321" s="596">
        <v>821300</v>
      </c>
      <c r="F321" s="663" t="s">
        <v>528</v>
      </c>
      <c r="G321" s="1154">
        <v>0</v>
      </c>
      <c r="H321" s="1154"/>
      <c r="I321" s="1154"/>
      <c r="J321" s="1154">
        <f>G321+H321-I321</f>
        <v>0</v>
      </c>
      <c r="K321" s="1154">
        <v>5000</v>
      </c>
      <c r="L321" s="1154"/>
      <c r="M321" s="1154"/>
      <c r="N321" s="1154">
        <f>K321+L321-M321</f>
        <v>5000</v>
      </c>
      <c r="O321" s="1154">
        <f>G321+K321</f>
        <v>5000</v>
      </c>
      <c r="P321" s="1155">
        <f>J321+N321</f>
        <v>5000</v>
      </c>
    </row>
    <row r="322" spans="1:16" ht="43.5" customHeight="1" thickBot="1">
      <c r="A322" s="881" t="s">
        <v>394</v>
      </c>
      <c r="B322" s="882" t="s">
        <v>395</v>
      </c>
      <c r="C322" s="882" t="s">
        <v>391</v>
      </c>
      <c r="D322" s="883">
        <v>811</v>
      </c>
      <c r="E322" s="883">
        <v>821600</v>
      </c>
      <c r="F322" s="884" t="s">
        <v>418</v>
      </c>
      <c r="G322" s="1154">
        <v>0</v>
      </c>
      <c r="H322" s="1154"/>
      <c r="I322" s="1154"/>
      <c r="J322" s="1154">
        <f>G322+H322-I322</f>
        <v>0</v>
      </c>
      <c r="K322" s="1154">
        <v>5000</v>
      </c>
      <c r="L322" s="1154"/>
      <c r="M322" s="1154"/>
      <c r="N322" s="1154">
        <f>K322+L322-M322</f>
        <v>5000</v>
      </c>
      <c r="O322" s="1154">
        <f>G322+K322</f>
        <v>5000</v>
      </c>
      <c r="P322" s="1155">
        <f>J322+N322</f>
        <v>5000</v>
      </c>
    </row>
    <row r="323" spans="1:16" ht="42.75" customHeight="1" thickBot="1">
      <c r="A323" s="645"/>
      <c r="B323" s="646"/>
      <c r="C323" s="646"/>
      <c r="D323" s="556"/>
      <c r="E323" s="556"/>
      <c r="F323" s="647" t="s">
        <v>179</v>
      </c>
      <c r="G323" s="1186">
        <f aca="true" t="shared" si="52" ref="G323:P323">SUM(G305:G322)</f>
        <v>169500</v>
      </c>
      <c r="H323" s="1186">
        <f t="shared" si="52"/>
        <v>30000</v>
      </c>
      <c r="I323" s="1186">
        <f t="shared" si="52"/>
        <v>0</v>
      </c>
      <c r="J323" s="1186">
        <f t="shared" si="52"/>
        <v>199500</v>
      </c>
      <c r="K323" s="1186">
        <f t="shared" si="52"/>
        <v>252000</v>
      </c>
      <c r="L323" s="1186">
        <f t="shared" si="52"/>
        <v>0</v>
      </c>
      <c r="M323" s="1186">
        <f t="shared" si="52"/>
        <v>0</v>
      </c>
      <c r="N323" s="1186">
        <f t="shared" si="52"/>
        <v>252000</v>
      </c>
      <c r="O323" s="1187">
        <f t="shared" si="52"/>
        <v>421500</v>
      </c>
      <c r="P323" s="1188">
        <f t="shared" si="52"/>
        <v>451500</v>
      </c>
    </row>
    <row r="324" spans="1:16" ht="42.75" customHeight="1">
      <c r="A324" s="424"/>
      <c r="B324" s="425"/>
      <c r="C324" s="425"/>
      <c r="D324" s="420"/>
      <c r="E324" s="420"/>
      <c r="F324" s="518" t="s">
        <v>1142</v>
      </c>
      <c r="G324" s="1175"/>
      <c r="H324" s="1175"/>
      <c r="I324" s="1175"/>
      <c r="J324" s="1175"/>
      <c r="K324" s="1175"/>
      <c r="L324" s="1175"/>
      <c r="M324" s="1175"/>
      <c r="N324" s="1175"/>
      <c r="O324" s="1175"/>
      <c r="P324" s="1176"/>
    </row>
    <row r="325" spans="1:16" ht="42.75" customHeight="1">
      <c r="A325" s="424"/>
      <c r="B325" s="425"/>
      <c r="C325" s="425"/>
      <c r="D325" s="420"/>
      <c r="E325" s="420"/>
      <c r="F325" s="473" t="s">
        <v>1076</v>
      </c>
      <c r="G325" s="1177"/>
      <c r="H325" s="1177"/>
      <c r="I325" s="1177"/>
      <c r="J325" s="1177"/>
      <c r="K325" s="1177"/>
      <c r="L325" s="1177"/>
      <c r="M325" s="1177"/>
      <c r="N325" s="1177"/>
      <c r="O325" s="1177">
        <v>11</v>
      </c>
      <c r="P325" s="1178"/>
    </row>
    <row r="326" spans="1:16" s="519" customFormat="1" ht="45.75" customHeight="1" thickBot="1">
      <c r="A326" s="648"/>
      <c r="B326" s="649"/>
      <c r="C326" s="649"/>
      <c r="D326" s="477"/>
      <c r="E326" s="477"/>
      <c r="F326" s="515" t="s">
        <v>834</v>
      </c>
      <c r="G326" s="1201"/>
      <c r="H326" s="1201"/>
      <c r="I326" s="1201"/>
      <c r="J326" s="1201"/>
      <c r="K326" s="1201"/>
      <c r="L326" s="1201"/>
      <c r="M326" s="1201"/>
      <c r="N326" s="1201"/>
      <c r="O326" s="1201">
        <v>15</v>
      </c>
      <c r="P326" s="1202"/>
    </row>
    <row r="327" spans="1:16" ht="284.25" customHeight="1">
      <c r="A327" s="607" t="s">
        <v>494</v>
      </c>
      <c r="B327" s="608" t="s">
        <v>495</v>
      </c>
      <c r="C327" s="609" t="s">
        <v>687</v>
      </c>
      <c r="D327" s="406" t="s">
        <v>497</v>
      </c>
      <c r="E327" s="406" t="s">
        <v>188</v>
      </c>
      <c r="F327" s="610" t="s">
        <v>496</v>
      </c>
      <c r="G327" s="813" t="s">
        <v>1322</v>
      </c>
      <c r="H327" s="813" t="s">
        <v>1324</v>
      </c>
      <c r="I327" s="813" t="s">
        <v>1325</v>
      </c>
      <c r="J327" s="813" t="s">
        <v>1326</v>
      </c>
      <c r="K327" s="813" t="s">
        <v>1323</v>
      </c>
      <c r="L327" s="813" t="s">
        <v>1327</v>
      </c>
      <c r="M327" s="813" t="s">
        <v>1328</v>
      </c>
      <c r="N327" s="813" t="s">
        <v>1329</v>
      </c>
      <c r="O327" s="1278" t="s">
        <v>1321</v>
      </c>
      <c r="P327" s="1149" t="s">
        <v>1330</v>
      </c>
    </row>
    <row r="328" spans="1:16" ht="29.25" customHeight="1">
      <c r="A328" s="1535">
        <v>0</v>
      </c>
      <c r="B328" s="1536"/>
      <c r="C328" s="1536"/>
      <c r="D328" s="611">
        <v>1</v>
      </c>
      <c r="E328" s="611">
        <v>2</v>
      </c>
      <c r="F328" s="611">
        <v>3</v>
      </c>
      <c r="G328" s="1150">
        <v>4</v>
      </c>
      <c r="H328" s="1150">
        <v>5</v>
      </c>
      <c r="I328" s="1150">
        <v>6</v>
      </c>
      <c r="J328" s="1150">
        <v>7</v>
      </c>
      <c r="K328" s="1150">
        <v>8</v>
      </c>
      <c r="L328" s="1150">
        <v>9</v>
      </c>
      <c r="M328" s="1150">
        <v>10</v>
      </c>
      <c r="N328" s="1150">
        <v>11</v>
      </c>
      <c r="O328" s="1150">
        <v>12</v>
      </c>
      <c r="P328" s="1151">
        <v>13</v>
      </c>
    </row>
    <row r="329" spans="1:16" ht="45.75" customHeight="1">
      <c r="A329" s="612" t="s">
        <v>394</v>
      </c>
      <c r="B329" s="613"/>
      <c r="C329" s="613"/>
      <c r="D329" s="614"/>
      <c r="E329" s="614"/>
      <c r="F329" s="615" t="s">
        <v>1035</v>
      </c>
      <c r="G329" s="415"/>
      <c r="H329" s="415"/>
      <c r="I329" s="415"/>
      <c r="J329" s="415"/>
      <c r="K329" s="415"/>
      <c r="L329" s="415"/>
      <c r="M329" s="415"/>
      <c r="N329" s="415"/>
      <c r="O329" s="415"/>
      <c r="P329" s="1152"/>
    </row>
    <row r="330" spans="1:16" ht="45.75" customHeight="1">
      <c r="A330" s="616" t="s">
        <v>394</v>
      </c>
      <c r="B330" s="617" t="s">
        <v>396</v>
      </c>
      <c r="C330" s="617"/>
      <c r="D330" s="618"/>
      <c r="E330" s="618"/>
      <c r="F330" s="619" t="s">
        <v>838</v>
      </c>
      <c r="G330" s="422"/>
      <c r="H330" s="422"/>
      <c r="I330" s="422"/>
      <c r="J330" s="422"/>
      <c r="K330" s="422"/>
      <c r="L330" s="422"/>
      <c r="M330" s="422"/>
      <c r="N330" s="422"/>
      <c r="O330" s="422"/>
      <c r="P330" s="1153"/>
    </row>
    <row r="331" spans="1:16" ht="45.75" customHeight="1">
      <c r="A331" s="620"/>
      <c r="B331" s="621"/>
      <c r="C331" s="621"/>
      <c r="D331" s="622"/>
      <c r="E331" s="623">
        <v>610000</v>
      </c>
      <c r="F331" s="624" t="s">
        <v>529</v>
      </c>
      <c r="G331" s="422"/>
      <c r="H331" s="422"/>
      <c r="I331" s="422"/>
      <c r="J331" s="422"/>
      <c r="K331" s="422"/>
      <c r="L331" s="422"/>
      <c r="M331" s="422"/>
      <c r="N331" s="422"/>
      <c r="O331" s="422"/>
      <c r="P331" s="1153"/>
    </row>
    <row r="332" spans="1:16" ht="45.75" customHeight="1">
      <c r="A332" s="625" t="s">
        <v>394</v>
      </c>
      <c r="B332" s="595" t="s">
        <v>396</v>
      </c>
      <c r="C332" s="595" t="s">
        <v>391</v>
      </c>
      <c r="D332" s="596">
        <v>821</v>
      </c>
      <c r="E332" s="596">
        <v>611100</v>
      </c>
      <c r="F332" s="626" t="s">
        <v>962</v>
      </c>
      <c r="G332" s="1154">
        <v>460000</v>
      </c>
      <c r="H332" s="1154"/>
      <c r="I332" s="1154"/>
      <c r="J332" s="1154">
        <f aca="true" t="shared" si="53" ref="J332:J350">G332+H332-I332</f>
        <v>460000</v>
      </c>
      <c r="K332" s="1154">
        <v>18064</v>
      </c>
      <c r="L332" s="1154"/>
      <c r="M332" s="1154"/>
      <c r="N332" s="1154">
        <f aca="true" t="shared" si="54" ref="N332:N350">K332+L332-M332</f>
        <v>18064</v>
      </c>
      <c r="O332" s="1154">
        <f aca="true" t="shared" si="55" ref="O332:O350">G332+K332</f>
        <v>478064</v>
      </c>
      <c r="P332" s="1155">
        <f aca="true" t="shared" si="56" ref="P332:P350">J332+N332</f>
        <v>478064</v>
      </c>
    </row>
    <row r="333" spans="1:16" ht="36" customHeight="1">
      <c r="A333" s="625" t="s">
        <v>394</v>
      </c>
      <c r="B333" s="595" t="s">
        <v>396</v>
      </c>
      <c r="C333" s="595" t="s">
        <v>391</v>
      </c>
      <c r="D333" s="596">
        <v>821</v>
      </c>
      <c r="E333" s="596">
        <v>611200</v>
      </c>
      <c r="F333" s="943" t="s">
        <v>514</v>
      </c>
      <c r="G333" s="1154">
        <v>70000</v>
      </c>
      <c r="H333" s="1154"/>
      <c r="I333" s="1154"/>
      <c r="J333" s="1154">
        <f t="shared" si="53"/>
        <v>70000</v>
      </c>
      <c r="K333" s="1154">
        <v>15000</v>
      </c>
      <c r="L333" s="1154"/>
      <c r="M333" s="1154"/>
      <c r="N333" s="1154">
        <f t="shared" si="54"/>
        <v>15000</v>
      </c>
      <c r="O333" s="1154">
        <f t="shared" si="55"/>
        <v>85000</v>
      </c>
      <c r="P333" s="1155">
        <f t="shared" si="56"/>
        <v>85000</v>
      </c>
    </row>
    <row r="334" spans="1:16" ht="36" customHeight="1">
      <c r="A334" s="625" t="s">
        <v>394</v>
      </c>
      <c r="B334" s="595" t="s">
        <v>396</v>
      </c>
      <c r="C334" s="595" t="s">
        <v>391</v>
      </c>
      <c r="D334" s="596">
        <v>821</v>
      </c>
      <c r="E334" s="464">
        <v>612000</v>
      </c>
      <c r="F334" s="943" t="s">
        <v>889</v>
      </c>
      <c r="G334" s="1154">
        <v>54500</v>
      </c>
      <c r="H334" s="1154"/>
      <c r="I334" s="1154"/>
      <c r="J334" s="1154">
        <f t="shared" si="53"/>
        <v>54500</v>
      </c>
      <c r="K334" s="1154">
        <v>1000</v>
      </c>
      <c r="L334" s="1154"/>
      <c r="M334" s="1154"/>
      <c r="N334" s="1154">
        <f t="shared" si="54"/>
        <v>1000</v>
      </c>
      <c r="O334" s="1154">
        <f t="shared" si="55"/>
        <v>55500</v>
      </c>
      <c r="P334" s="1155">
        <f t="shared" si="56"/>
        <v>55500</v>
      </c>
    </row>
    <row r="335" spans="1:16" ht="34.5" customHeight="1">
      <c r="A335" s="625" t="s">
        <v>394</v>
      </c>
      <c r="B335" s="595" t="s">
        <v>396</v>
      </c>
      <c r="C335" s="595" t="s">
        <v>391</v>
      </c>
      <c r="D335" s="596">
        <v>821</v>
      </c>
      <c r="E335" s="464">
        <v>613100</v>
      </c>
      <c r="F335" s="943" t="s">
        <v>515</v>
      </c>
      <c r="G335" s="1154">
        <v>1300</v>
      </c>
      <c r="H335" s="1154"/>
      <c r="I335" s="1154"/>
      <c r="J335" s="1154">
        <f t="shared" si="53"/>
        <v>1300</v>
      </c>
      <c r="K335" s="1154">
        <v>2000</v>
      </c>
      <c r="L335" s="1154"/>
      <c r="M335" s="1154"/>
      <c r="N335" s="1154">
        <f t="shared" si="54"/>
        <v>2000</v>
      </c>
      <c r="O335" s="1154">
        <f t="shared" si="55"/>
        <v>3300</v>
      </c>
      <c r="P335" s="1155">
        <f t="shared" si="56"/>
        <v>3300</v>
      </c>
    </row>
    <row r="336" spans="1:16" ht="34.5" customHeight="1">
      <c r="A336" s="625" t="s">
        <v>394</v>
      </c>
      <c r="B336" s="595" t="s">
        <v>396</v>
      </c>
      <c r="C336" s="595" t="s">
        <v>391</v>
      </c>
      <c r="D336" s="596">
        <v>821</v>
      </c>
      <c r="E336" s="464">
        <v>613210</v>
      </c>
      <c r="F336" s="943" t="s">
        <v>660</v>
      </c>
      <c r="G336" s="1154">
        <v>44000</v>
      </c>
      <c r="H336" s="1154"/>
      <c r="I336" s="1154"/>
      <c r="J336" s="1154">
        <f t="shared" si="53"/>
        <v>44000</v>
      </c>
      <c r="K336" s="1154">
        <v>2000</v>
      </c>
      <c r="L336" s="1154"/>
      <c r="M336" s="1154"/>
      <c r="N336" s="1154">
        <f t="shared" si="54"/>
        <v>2000</v>
      </c>
      <c r="O336" s="1154">
        <f t="shared" si="55"/>
        <v>46000</v>
      </c>
      <c r="P336" s="1155">
        <f t="shared" si="56"/>
        <v>46000</v>
      </c>
    </row>
    <row r="337" spans="1:16" ht="34.5" customHeight="1">
      <c r="A337" s="625" t="s">
        <v>394</v>
      </c>
      <c r="B337" s="595" t="s">
        <v>396</v>
      </c>
      <c r="C337" s="595" t="s">
        <v>391</v>
      </c>
      <c r="D337" s="596">
        <v>821</v>
      </c>
      <c r="E337" s="464">
        <v>613310</v>
      </c>
      <c r="F337" s="465" t="s">
        <v>616</v>
      </c>
      <c r="G337" s="1154">
        <v>8000</v>
      </c>
      <c r="H337" s="1154"/>
      <c r="I337" s="1154"/>
      <c r="J337" s="1154">
        <f t="shared" si="53"/>
        <v>8000</v>
      </c>
      <c r="K337" s="1154">
        <v>2000</v>
      </c>
      <c r="L337" s="1154"/>
      <c r="M337" s="1154"/>
      <c r="N337" s="1154">
        <f t="shared" si="54"/>
        <v>2000</v>
      </c>
      <c r="O337" s="1154">
        <f t="shared" si="55"/>
        <v>10000</v>
      </c>
      <c r="P337" s="1155">
        <f t="shared" si="56"/>
        <v>10000</v>
      </c>
    </row>
    <row r="338" spans="1:16" ht="33.75" customHeight="1">
      <c r="A338" s="625" t="s">
        <v>394</v>
      </c>
      <c r="B338" s="595" t="s">
        <v>396</v>
      </c>
      <c r="C338" s="595" t="s">
        <v>391</v>
      </c>
      <c r="D338" s="596">
        <v>821</v>
      </c>
      <c r="E338" s="464">
        <v>613320</v>
      </c>
      <c r="F338" s="943" t="s">
        <v>500</v>
      </c>
      <c r="G338" s="1154">
        <v>6000</v>
      </c>
      <c r="H338" s="1154"/>
      <c r="I338" s="1154"/>
      <c r="J338" s="1154">
        <f t="shared" si="53"/>
        <v>6000</v>
      </c>
      <c r="K338" s="1154">
        <v>1000</v>
      </c>
      <c r="L338" s="1154"/>
      <c r="M338" s="1154"/>
      <c r="N338" s="1154">
        <f t="shared" si="54"/>
        <v>1000</v>
      </c>
      <c r="O338" s="1154">
        <f t="shared" si="55"/>
        <v>7000</v>
      </c>
      <c r="P338" s="1155">
        <f t="shared" si="56"/>
        <v>7000</v>
      </c>
    </row>
    <row r="339" spans="1:16" ht="34.5" customHeight="1">
      <c r="A339" s="625" t="s">
        <v>394</v>
      </c>
      <c r="B339" s="595" t="s">
        <v>396</v>
      </c>
      <c r="C339" s="595" t="s">
        <v>391</v>
      </c>
      <c r="D339" s="596">
        <v>821</v>
      </c>
      <c r="E339" s="464">
        <v>613400</v>
      </c>
      <c r="F339" s="943" t="s">
        <v>501</v>
      </c>
      <c r="G339" s="1154">
        <v>3000</v>
      </c>
      <c r="H339" s="1154"/>
      <c r="I339" s="1154"/>
      <c r="J339" s="1154">
        <f t="shared" si="53"/>
        <v>3000</v>
      </c>
      <c r="K339" s="1154">
        <v>4000</v>
      </c>
      <c r="L339" s="1154"/>
      <c r="M339" s="1154"/>
      <c r="N339" s="1154">
        <f t="shared" si="54"/>
        <v>4000</v>
      </c>
      <c r="O339" s="1154">
        <f t="shared" si="55"/>
        <v>7000</v>
      </c>
      <c r="P339" s="1155">
        <f t="shared" si="56"/>
        <v>7000</v>
      </c>
    </row>
    <row r="340" spans="1:16" ht="33.75" customHeight="1">
      <c r="A340" s="625" t="s">
        <v>394</v>
      </c>
      <c r="B340" s="595" t="s">
        <v>396</v>
      </c>
      <c r="C340" s="595" t="s">
        <v>391</v>
      </c>
      <c r="D340" s="596">
        <v>821</v>
      </c>
      <c r="E340" s="464">
        <v>613500</v>
      </c>
      <c r="F340" s="943" t="s">
        <v>661</v>
      </c>
      <c r="G340" s="1154">
        <v>3000</v>
      </c>
      <c r="H340" s="1154"/>
      <c r="I340" s="1154"/>
      <c r="J340" s="1154">
        <f t="shared" si="53"/>
        <v>3000</v>
      </c>
      <c r="K340" s="1154">
        <v>2000</v>
      </c>
      <c r="L340" s="1154"/>
      <c r="M340" s="1154"/>
      <c r="N340" s="1154">
        <f t="shared" si="54"/>
        <v>2000</v>
      </c>
      <c r="O340" s="1154">
        <f t="shared" si="55"/>
        <v>5000</v>
      </c>
      <c r="P340" s="1155">
        <f t="shared" si="56"/>
        <v>5000</v>
      </c>
    </row>
    <row r="341" spans="1:16" ht="33.75" customHeight="1">
      <c r="A341" s="625" t="s">
        <v>394</v>
      </c>
      <c r="B341" s="595" t="s">
        <v>396</v>
      </c>
      <c r="C341" s="595" t="s">
        <v>391</v>
      </c>
      <c r="D341" s="596">
        <v>821</v>
      </c>
      <c r="E341" s="464">
        <v>613720</v>
      </c>
      <c r="F341" s="943" t="s">
        <v>530</v>
      </c>
      <c r="G341" s="1154">
        <v>7500</v>
      </c>
      <c r="H341" s="1154"/>
      <c r="I341" s="1154"/>
      <c r="J341" s="1154">
        <f t="shared" si="53"/>
        <v>7500</v>
      </c>
      <c r="K341" s="1154">
        <v>2000</v>
      </c>
      <c r="L341" s="1154"/>
      <c r="M341" s="1154"/>
      <c r="N341" s="1154">
        <f t="shared" si="54"/>
        <v>2000</v>
      </c>
      <c r="O341" s="1154">
        <f t="shared" si="55"/>
        <v>9500</v>
      </c>
      <c r="P341" s="1155">
        <f t="shared" si="56"/>
        <v>9500</v>
      </c>
    </row>
    <row r="342" spans="1:16" ht="33.75" customHeight="1">
      <c r="A342" s="625" t="s">
        <v>394</v>
      </c>
      <c r="B342" s="595" t="s">
        <v>396</v>
      </c>
      <c r="C342" s="595" t="s">
        <v>391</v>
      </c>
      <c r="D342" s="596">
        <v>821</v>
      </c>
      <c r="E342" s="464">
        <v>613810</v>
      </c>
      <c r="F342" s="943" t="s">
        <v>154</v>
      </c>
      <c r="G342" s="1154">
        <v>3000</v>
      </c>
      <c r="H342" s="1154"/>
      <c r="I342" s="1154"/>
      <c r="J342" s="1154">
        <f t="shared" si="53"/>
        <v>3000</v>
      </c>
      <c r="K342" s="1154">
        <v>2000</v>
      </c>
      <c r="L342" s="1154"/>
      <c r="M342" s="1154"/>
      <c r="N342" s="1154">
        <f t="shared" si="54"/>
        <v>2000</v>
      </c>
      <c r="O342" s="1154">
        <f t="shared" si="55"/>
        <v>5000</v>
      </c>
      <c r="P342" s="1155">
        <f t="shared" si="56"/>
        <v>5000</v>
      </c>
    </row>
    <row r="343" spans="1:16" ht="32.25" customHeight="1">
      <c r="A343" s="625" t="s">
        <v>394</v>
      </c>
      <c r="B343" s="595" t="s">
        <v>396</v>
      </c>
      <c r="C343" s="595" t="s">
        <v>391</v>
      </c>
      <c r="D343" s="596">
        <v>821</v>
      </c>
      <c r="E343" s="464">
        <v>613910</v>
      </c>
      <c r="F343" s="943" t="s">
        <v>502</v>
      </c>
      <c r="G343" s="1154">
        <v>10000</v>
      </c>
      <c r="H343" s="1154"/>
      <c r="I343" s="1154"/>
      <c r="J343" s="1154">
        <f t="shared" si="53"/>
        <v>10000</v>
      </c>
      <c r="K343" s="1154">
        <v>5000</v>
      </c>
      <c r="L343" s="1154"/>
      <c r="M343" s="1154"/>
      <c r="N343" s="1154">
        <f t="shared" si="54"/>
        <v>5000</v>
      </c>
      <c r="O343" s="1154">
        <f t="shared" si="55"/>
        <v>15000</v>
      </c>
      <c r="P343" s="1155">
        <f t="shared" si="56"/>
        <v>15000</v>
      </c>
    </row>
    <row r="344" spans="1:16" ht="34.5" customHeight="1">
      <c r="A344" s="625" t="s">
        <v>394</v>
      </c>
      <c r="B344" s="595" t="s">
        <v>396</v>
      </c>
      <c r="C344" s="595" t="s">
        <v>391</v>
      </c>
      <c r="D344" s="596">
        <v>821</v>
      </c>
      <c r="E344" s="464">
        <v>613932</v>
      </c>
      <c r="F344" s="943" t="s">
        <v>377</v>
      </c>
      <c r="G344" s="1154">
        <v>0</v>
      </c>
      <c r="H344" s="1154"/>
      <c r="I344" s="1154"/>
      <c r="J344" s="1154">
        <f t="shared" si="53"/>
        <v>0</v>
      </c>
      <c r="K344" s="1154">
        <v>2000</v>
      </c>
      <c r="L344" s="1154"/>
      <c r="M344" s="1154"/>
      <c r="N344" s="1154">
        <f t="shared" si="54"/>
        <v>2000</v>
      </c>
      <c r="O344" s="1154">
        <f t="shared" si="55"/>
        <v>2000</v>
      </c>
      <c r="P344" s="1155">
        <f t="shared" si="56"/>
        <v>2000</v>
      </c>
    </row>
    <row r="345" spans="1:16" ht="32.25" customHeight="1">
      <c r="A345" s="625" t="s">
        <v>394</v>
      </c>
      <c r="B345" s="595" t="s">
        <v>396</v>
      </c>
      <c r="C345" s="595" t="s">
        <v>391</v>
      </c>
      <c r="D345" s="596">
        <v>821</v>
      </c>
      <c r="E345" s="464">
        <v>613934</v>
      </c>
      <c r="F345" s="628" t="s">
        <v>540</v>
      </c>
      <c r="G345" s="1154">
        <v>3000</v>
      </c>
      <c r="H345" s="1154"/>
      <c r="I345" s="1154"/>
      <c r="J345" s="1154">
        <f t="shared" si="53"/>
        <v>3000</v>
      </c>
      <c r="K345" s="1154">
        <v>0</v>
      </c>
      <c r="L345" s="1154"/>
      <c r="M345" s="1154"/>
      <c r="N345" s="1154">
        <f t="shared" si="54"/>
        <v>0</v>
      </c>
      <c r="O345" s="1154">
        <f t="shared" si="55"/>
        <v>3000</v>
      </c>
      <c r="P345" s="1155">
        <f t="shared" si="56"/>
        <v>3000</v>
      </c>
    </row>
    <row r="346" spans="1:16" ht="34.5" customHeight="1">
      <c r="A346" s="625" t="s">
        <v>394</v>
      </c>
      <c r="B346" s="595" t="s">
        <v>396</v>
      </c>
      <c r="C346" s="595" t="s">
        <v>391</v>
      </c>
      <c r="D346" s="596">
        <v>821</v>
      </c>
      <c r="E346" s="580" t="s">
        <v>621</v>
      </c>
      <c r="F346" s="943" t="s">
        <v>517</v>
      </c>
      <c r="G346" s="1154">
        <v>15600</v>
      </c>
      <c r="H346" s="1154"/>
      <c r="I346" s="1154"/>
      <c r="J346" s="1154">
        <f t="shared" si="53"/>
        <v>15600</v>
      </c>
      <c r="K346" s="1154">
        <v>8000</v>
      </c>
      <c r="L346" s="1154"/>
      <c r="M346" s="1154"/>
      <c r="N346" s="1154">
        <f t="shared" si="54"/>
        <v>8000</v>
      </c>
      <c r="O346" s="1154">
        <f t="shared" si="55"/>
        <v>23600</v>
      </c>
      <c r="P346" s="1155">
        <f t="shared" si="56"/>
        <v>23600</v>
      </c>
    </row>
    <row r="347" spans="1:16" ht="33.75" customHeight="1">
      <c r="A347" s="629" t="s">
        <v>394</v>
      </c>
      <c r="B347" s="630" t="s">
        <v>396</v>
      </c>
      <c r="C347" s="630" t="s">
        <v>391</v>
      </c>
      <c r="D347" s="464">
        <v>821</v>
      </c>
      <c r="E347" s="580" t="s">
        <v>388</v>
      </c>
      <c r="F347" s="631" t="s">
        <v>458</v>
      </c>
      <c r="G347" s="1154">
        <v>0</v>
      </c>
      <c r="H347" s="1154"/>
      <c r="I347" s="1154"/>
      <c r="J347" s="1154">
        <f t="shared" si="53"/>
        <v>0</v>
      </c>
      <c r="K347" s="1154">
        <v>2000</v>
      </c>
      <c r="L347" s="1154"/>
      <c r="M347" s="1154"/>
      <c r="N347" s="1154">
        <f t="shared" si="54"/>
        <v>2000</v>
      </c>
      <c r="O347" s="1154">
        <f t="shared" si="55"/>
        <v>2000</v>
      </c>
      <c r="P347" s="1155">
        <f t="shared" si="56"/>
        <v>2000</v>
      </c>
    </row>
    <row r="348" spans="1:16" ht="33.75" customHeight="1">
      <c r="A348" s="958" t="s">
        <v>394</v>
      </c>
      <c r="B348" s="959" t="s">
        <v>396</v>
      </c>
      <c r="C348" s="959" t="s">
        <v>391</v>
      </c>
      <c r="D348" s="464">
        <v>821</v>
      </c>
      <c r="E348" s="580" t="s">
        <v>622</v>
      </c>
      <c r="F348" s="631" t="s">
        <v>943</v>
      </c>
      <c r="G348" s="1154">
        <v>0</v>
      </c>
      <c r="H348" s="1154"/>
      <c r="I348" s="1154"/>
      <c r="J348" s="1154">
        <f t="shared" si="53"/>
        <v>0</v>
      </c>
      <c r="K348" s="1154">
        <v>8000</v>
      </c>
      <c r="L348" s="1154"/>
      <c r="M348" s="1154"/>
      <c r="N348" s="1154">
        <f t="shared" si="54"/>
        <v>8000</v>
      </c>
      <c r="O348" s="1154">
        <f t="shared" si="55"/>
        <v>8000</v>
      </c>
      <c r="P348" s="1155">
        <f t="shared" si="56"/>
        <v>8000</v>
      </c>
    </row>
    <row r="349" spans="1:16" ht="33.75" customHeight="1">
      <c r="A349" s="629" t="s">
        <v>394</v>
      </c>
      <c r="B349" s="630" t="s">
        <v>396</v>
      </c>
      <c r="C349" s="630" t="s">
        <v>391</v>
      </c>
      <c r="D349" s="464">
        <v>821</v>
      </c>
      <c r="E349" s="464">
        <v>613995</v>
      </c>
      <c r="F349" s="598" t="s">
        <v>617</v>
      </c>
      <c r="G349" s="1154">
        <v>10600</v>
      </c>
      <c r="H349" s="1154"/>
      <c r="I349" s="1154"/>
      <c r="J349" s="1154">
        <f t="shared" si="53"/>
        <v>10600</v>
      </c>
      <c r="K349" s="1154">
        <v>0</v>
      </c>
      <c r="L349" s="1154"/>
      <c r="M349" s="1154"/>
      <c r="N349" s="1154">
        <f t="shared" si="54"/>
        <v>0</v>
      </c>
      <c r="O349" s="1154">
        <f t="shared" si="55"/>
        <v>10600</v>
      </c>
      <c r="P349" s="1155">
        <f t="shared" si="56"/>
        <v>10600</v>
      </c>
    </row>
    <row r="350" spans="1:16" ht="34.5" customHeight="1">
      <c r="A350" s="629" t="s">
        <v>394</v>
      </c>
      <c r="B350" s="630" t="s">
        <v>396</v>
      </c>
      <c r="C350" s="630" t="s">
        <v>391</v>
      </c>
      <c r="D350" s="464">
        <v>821</v>
      </c>
      <c r="E350" s="580">
        <v>613997</v>
      </c>
      <c r="F350" s="599" t="s">
        <v>189</v>
      </c>
      <c r="G350" s="1154">
        <v>0</v>
      </c>
      <c r="H350" s="1154"/>
      <c r="I350" s="1154"/>
      <c r="J350" s="1154">
        <f t="shared" si="53"/>
        <v>0</v>
      </c>
      <c r="K350" s="1154">
        <v>2000</v>
      </c>
      <c r="L350" s="1154"/>
      <c r="M350" s="1154"/>
      <c r="N350" s="1154">
        <f t="shared" si="54"/>
        <v>2000</v>
      </c>
      <c r="O350" s="1154">
        <f t="shared" si="55"/>
        <v>2000</v>
      </c>
      <c r="P350" s="1155">
        <f t="shared" si="56"/>
        <v>2000</v>
      </c>
    </row>
    <row r="351" spans="1:16" ht="45.75" customHeight="1">
      <c r="A351" s="632"/>
      <c r="B351" s="633"/>
      <c r="C351" s="633"/>
      <c r="D351" s="634"/>
      <c r="E351" s="635">
        <v>820000</v>
      </c>
      <c r="F351" s="636" t="s">
        <v>527</v>
      </c>
      <c r="G351" s="1181"/>
      <c r="H351" s="1181"/>
      <c r="I351" s="1181"/>
      <c r="J351" s="1181"/>
      <c r="K351" s="1181"/>
      <c r="L351" s="1181"/>
      <c r="M351" s="1181"/>
      <c r="N351" s="1181"/>
      <c r="O351" s="1181"/>
      <c r="P351" s="1203"/>
    </row>
    <row r="352" spans="1:16" ht="45.75" customHeight="1">
      <c r="A352" s="625" t="s">
        <v>394</v>
      </c>
      <c r="B352" s="595" t="s">
        <v>396</v>
      </c>
      <c r="C352" s="595" t="s">
        <v>391</v>
      </c>
      <c r="D352" s="596">
        <v>821</v>
      </c>
      <c r="E352" s="596">
        <v>821300</v>
      </c>
      <c r="F352" s="637" t="s">
        <v>528</v>
      </c>
      <c r="G352" s="1154">
        <v>0</v>
      </c>
      <c r="H352" s="1154"/>
      <c r="I352" s="1154"/>
      <c r="J352" s="1154">
        <f>G352+H352-I352</f>
        <v>0</v>
      </c>
      <c r="K352" s="1154">
        <v>5000</v>
      </c>
      <c r="L352" s="1154"/>
      <c r="M352" s="1154"/>
      <c r="N352" s="1154">
        <f>K352+L352-M352</f>
        <v>5000</v>
      </c>
      <c r="O352" s="1154">
        <f>G352+K352</f>
        <v>5000</v>
      </c>
      <c r="P352" s="1155">
        <f>J352+N352</f>
        <v>5000</v>
      </c>
    </row>
    <row r="353" spans="1:16" ht="45.75" customHeight="1" thickBot="1">
      <c r="A353" s="638"/>
      <c r="B353" s="639"/>
      <c r="C353" s="639"/>
      <c r="D353" s="639"/>
      <c r="E353" s="639"/>
      <c r="F353" s="640" t="s">
        <v>839</v>
      </c>
      <c r="G353" s="1160">
        <f aca="true" t="shared" si="57" ref="G353:P353">SUM(G332:G352)</f>
        <v>699500</v>
      </c>
      <c r="H353" s="1160">
        <f t="shared" si="57"/>
        <v>0</v>
      </c>
      <c r="I353" s="1160">
        <f t="shared" si="57"/>
        <v>0</v>
      </c>
      <c r="J353" s="1160">
        <f t="shared" si="57"/>
        <v>699500</v>
      </c>
      <c r="K353" s="1160">
        <f t="shared" si="57"/>
        <v>83064</v>
      </c>
      <c r="L353" s="1160">
        <f t="shared" si="57"/>
        <v>0</v>
      </c>
      <c r="M353" s="1160">
        <f t="shared" si="57"/>
        <v>0</v>
      </c>
      <c r="N353" s="1160">
        <f t="shared" si="57"/>
        <v>83064</v>
      </c>
      <c r="O353" s="1161">
        <f t="shared" si="57"/>
        <v>782564</v>
      </c>
      <c r="P353" s="1162">
        <f t="shared" si="57"/>
        <v>782564</v>
      </c>
    </row>
    <row r="354" spans="1:16" ht="45.75" customHeight="1">
      <c r="A354" s="641"/>
      <c r="B354" s="618"/>
      <c r="C354" s="618"/>
      <c r="D354" s="618"/>
      <c r="E354" s="618"/>
      <c r="F354" s="518" t="s">
        <v>1142</v>
      </c>
      <c r="G354" s="1175"/>
      <c r="H354" s="1175"/>
      <c r="I354" s="1175"/>
      <c r="J354" s="1175"/>
      <c r="K354" s="1175"/>
      <c r="L354" s="1175"/>
      <c r="M354" s="1175"/>
      <c r="N354" s="1175"/>
      <c r="O354" s="1175"/>
      <c r="P354" s="1176"/>
    </row>
    <row r="355" spans="1:16" ht="45.75" customHeight="1">
      <c r="A355" s="641"/>
      <c r="B355" s="618"/>
      <c r="C355" s="618"/>
      <c r="D355" s="618"/>
      <c r="E355" s="618"/>
      <c r="F355" s="473" t="s">
        <v>1076</v>
      </c>
      <c r="G355" s="1177"/>
      <c r="H355" s="1177"/>
      <c r="I355" s="1177"/>
      <c r="J355" s="1177"/>
      <c r="K355" s="1177"/>
      <c r="L355" s="1177"/>
      <c r="M355" s="1177"/>
      <c r="N355" s="1177"/>
      <c r="O355" s="1177">
        <v>31</v>
      </c>
      <c r="P355" s="1178"/>
    </row>
    <row r="356" spans="1:16" ht="45.75" customHeight="1" thickBot="1">
      <c r="A356" s="642"/>
      <c r="B356" s="643"/>
      <c r="C356" s="643"/>
      <c r="D356" s="643"/>
      <c r="E356" s="643"/>
      <c r="F356" s="515" t="s">
        <v>834</v>
      </c>
      <c r="G356" s="1201"/>
      <c r="H356" s="1201"/>
      <c r="I356" s="1201"/>
      <c r="J356" s="1201"/>
      <c r="K356" s="1201"/>
      <c r="L356" s="1201"/>
      <c r="M356" s="1201"/>
      <c r="N356" s="1201"/>
      <c r="O356" s="1201">
        <v>38</v>
      </c>
      <c r="P356" s="1202"/>
    </row>
    <row r="357" spans="1:16" s="650" customFormat="1" ht="279" customHeight="1">
      <c r="A357" s="607" t="s">
        <v>494</v>
      </c>
      <c r="B357" s="608" t="s">
        <v>495</v>
      </c>
      <c r="C357" s="609" t="s">
        <v>677</v>
      </c>
      <c r="D357" s="404" t="s">
        <v>497</v>
      </c>
      <c r="E357" s="404" t="s">
        <v>188</v>
      </c>
      <c r="F357" s="405" t="s">
        <v>496</v>
      </c>
      <c r="G357" s="813" t="s">
        <v>1322</v>
      </c>
      <c r="H357" s="813" t="s">
        <v>1324</v>
      </c>
      <c r="I357" s="813" t="s">
        <v>1325</v>
      </c>
      <c r="J357" s="813" t="s">
        <v>1326</v>
      </c>
      <c r="K357" s="813" t="s">
        <v>1323</v>
      </c>
      <c r="L357" s="813" t="s">
        <v>1327</v>
      </c>
      <c r="M357" s="813" t="s">
        <v>1328</v>
      </c>
      <c r="N357" s="813" t="s">
        <v>1329</v>
      </c>
      <c r="O357" s="1278" t="s">
        <v>1321</v>
      </c>
      <c r="P357" s="1149" t="s">
        <v>1330</v>
      </c>
    </row>
    <row r="358" spans="1:16" s="651" customFormat="1" ht="27" customHeight="1">
      <c r="A358" s="1535">
        <v>0</v>
      </c>
      <c r="B358" s="1536"/>
      <c r="C358" s="1536"/>
      <c r="D358" s="409">
        <v>1</v>
      </c>
      <c r="E358" s="409">
        <v>2</v>
      </c>
      <c r="F358" s="410">
        <v>3</v>
      </c>
      <c r="G358" s="1150">
        <v>4</v>
      </c>
      <c r="H358" s="1150">
        <v>5</v>
      </c>
      <c r="I358" s="1150">
        <v>6</v>
      </c>
      <c r="J358" s="1150">
        <v>7</v>
      </c>
      <c r="K358" s="1150">
        <v>8</v>
      </c>
      <c r="L358" s="1150">
        <v>9</v>
      </c>
      <c r="M358" s="1150">
        <v>10</v>
      </c>
      <c r="N358" s="1150">
        <v>11</v>
      </c>
      <c r="O358" s="1150">
        <v>12</v>
      </c>
      <c r="P358" s="1151">
        <v>13</v>
      </c>
    </row>
    <row r="359" spans="1:16" s="651" customFormat="1" ht="88.5" customHeight="1">
      <c r="A359" s="612" t="s">
        <v>394</v>
      </c>
      <c r="B359" s="613"/>
      <c r="C359" s="613"/>
      <c r="D359" s="413"/>
      <c r="E359" s="413"/>
      <c r="F359" s="566" t="s">
        <v>1035</v>
      </c>
      <c r="G359" s="415"/>
      <c r="H359" s="415"/>
      <c r="I359" s="415"/>
      <c r="J359" s="415"/>
      <c r="K359" s="415"/>
      <c r="L359" s="415"/>
      <c r="M359" s="415"/>
      <c r="N359" s="415"/>
      <c r="O359" s="415"/>
      <c r="P359" s="1152"/>
    </row>
    <row r="360" spans="1:16" s="651" customFormat="1" ht="83.25" customHeight="1">
      <c r="A360" s="616" t="s">
        <v>394</v>
      </c>
      <c r="B360" s="617" t="s">
        <v>690</v>
      </c>
      <c r="C360" s="617"/>
      <c r="D360" s="420"/>
      <c r="E360" s="420"/>
      <c r="F360" s="492" t="s">
        <v>1114</v>
      </c>
      <c r="G360" s="422"/>
      <c r="H360" s="422"/>
      <c r="I360" s="422"/>
      <c r="J360" s="422"/>
      <c r="K360" s="422"/>
      <c r="L360" s="422"/>
      <c r="M360" s="422"/>
      <c r="N360" s="422"/>
      <c r="O360" s="422"/>
      <c r="P360" s="1153"/>
    </row>
    <row r="361" spans="1:16" s="651" customFormat="1" ht="57" customHeight="1">
      <c r="A361" s="620"/>
      <c r="B361" s="621"/>
      <c r="C361" s="621"/>
      <c r="D361" s="419"/>
      <c r="E361" s="426">
        <v>610000</v>
      </c>
      <c r="F361" s="495" t="s">
        <v>529</v>
      </c>
      <c r="G361" s="422"/>
      <c r="H361" s="422"/>
      <c r="I361" s="422"/>
      <c r="J361" s="422"/>
      <c r="K361" s="422"/>
      <c r="L361" s="422"/>
      <c r="M361" s="422"/>
      <c r="N361" s="422"/>
      <c r="O361" s="422"/>
      <c r="P361" s="1153"/>
    </row>
    <row r="362" spans="1:16" s="651" customFormat="1" ht="63" customHeight="1">
      <c r="A362" s="652" t="s">
        <v>394</v>
      </c>
      <c r="B362" s="617" t="s">
        <v>690</v>
      </c>
      <c r="C362" s="617" t="s">
        <v>391</v>
      </c>
      <c r="D362" s="502">
        <v>474</v>
      </c>
      <c r="E362" s="653">
        <v>613915</v>
      </c>
      <c r="F362" s="654" t="s">
        <v>853</v>
      </c>
      <c r="G362" s="1156">
        <v>10000</v>
      </c>
      <c r="H362" s="1156"/>
      <c r="I362" s="1156"/>
      <c r="J362" s="1156">
        <f aca="true" t="shared" si="58" ref="J362:J370">G362+H362-I362</f>
        <v>10000</v>
      </c>
      <c r="K362" s="1156">
        <v>0</v>
      </c>
      <c r="L362" s="1156"/>
      <c r="M362" s="1156"/>
      <c r="N362" s="1156">
        <f aca="true" t="shared" si="59" ref="N362:N370">K362+L362-M362</f>
        <v>0</v>
      </c>
      <c r="O362" s="1156">
        <f aca="true" t="shared" si="60" ref="O362:O370">G362+K362</f>
        <v>10000</v>
      </c>
      <c r="P362" s="1157">
        <f aca="true" t="shared" si="61" ref="P362:P370">J362+N362</f>
        <v>10000</v>
      </c>
    </row>
    <row r="363" spans="1:16" s="651" customFormat="1" ht="63" customHeight="1">
      <c r="A363" s="1320" t="s">
        <v>394</v>
      </c>
      <c r="B363" s="1307" t="s">
        <v>690</v>
      </c>
      <c r="C363" s="1307" t="s">
        <v>391</v>
      </c>
      <c r="D363" s="1310">
        <v>421</v>
      </c>
      <c r="E363" s="1310" t="s">
        <v>1392</v>
      </c>
      <c r="F363" s="1319" t="s">
        <v>1393</v>
      </c>
      <c r="G363" s="1303">
        <v>0</v>
      </c>
      <c r="H363" s="1303">
        <v>40000</v>
      </c>
      <c r="I363" s="1303"/>
      <c r="J363" s="1303">
        <f t="shared" si="58"/>
        <v>40000</v>
      </c>
      <c r="K363" s="1303">
        <v>0</v>
      </c>
      <c r="L363" s="1303"/>
      <c r="M363" s="1303"/>
      <c r="N363" s="1303">
        <f>K363+L363-M363</f>
        <v>0</v>
      </c>
      <c r="O363" s="1303">
        <f>G363+K363</f>
        <v>0</v>
      </c>
      <c r="P363" s="1304">
        <f>J363+N363</f>
        <v>40000</v>
      </c>
    </row>
    <row r="364" spans="1:16" s="658" customFormat="1" ht="40.5" customHeight="1">
      <c r="A364" s="655" t="s">
        <v>394</v>
      </c>
      <c r="B364" s="630" t="s">
        <v>690</v>
      </c>
      <c r="C364" s="630" t="s">
        <v>391</v>
      </c>
      <c r="D364" s="656">
        <v>474</v>
      </c>
      <c r="E364" s="464" t="s">
        <v>281</v>
      </c>
      <c r="F364" s="657" t="s">
        <v>626</v>
      </c>
      <c r="G364" s="1154">
        <v>30000</v>
      </c>
      <c r="H364" s="1154"/>
      <c r="I364" s="1154"/>
      <c r="J364" s="1154">
        <f t="shared" si="58"/>
        <v>30000</v>
      </c>
      <c r="K364" s="1154">
        <v>0</v>
      </c>
      <c r="L364" s="1154"/>
      <c r="M364" s="1154"/>
      <c r="N364" s="1154">
        <f t="shared" si="59"/>
        <v>0</v>
      </c>
      <c r="O364" s="1154">
        <f t="shared" si="60"/>
        <v>30000</v>
      </c>
      <c r="P364" s="1155">
        <f t="shared" si="61"/>
        <v>30000</v>
      </c>
    </row>
    <row r="365" spans="1:16" s="651" customFormat="1" ht="42" customHeight="1">
      <c r="A365" s="659" t="s">
        <v>394</v>
      </c>
      <c r="B365" s="595" t="s">
        <v>690</v>
      </c>
      <c r="C365" s="630" t="s">
        <v>391</v>
      </c>
      <c r="D365" s="589">
        <v>421</v>
      </c>
      <c r="E365" s="432" t="s">
        <v>282</v>
      </c>
      <c r="F365" s="660" t="s">
        <v>627</v>
      </c>
      <c r="G365" s="1154">
        <v>80000</v>
      </c>
      <c r="H365" s="1154"/>
      <c r="I365" s="1154"/>
      <c r="J365" s="1154">
        <f t="shared" si="58"/>
        <v>80000</v>
      </c>
      <c r="K365" s="1154">
        <v>0</v>
      </c>
      <c r="L365" s="1154"/>
      <c r="M365" s="1154"/>
      <c r="N365" s="1154">
        <f t="shared" si="59"/>
        <v>0</v>
      </c>
      <c r="O365" s="1154">
        <f t="shared" si="60"/>
        <v>80000</v>
      </c>
      <c r="P365" s="1155">
        <f t="shared" si="61"/>
        <v>80000</v>
      </c>
    </row>
    <row r="366" spans="1:16" s="651" customFormat="1" ht="42" customHeight="1">
      <c r="A366" s="659" t="s">
        <v>394</v>
      </c>
      <c r="B366" s="595" t="s">
        <v>690</v>
      </c>
      <c r="C366" s="630" t="s">
        <v>391</v>
      </c>
      <c r="D366" s="590">
        <v>474</v>
      </c>
      <c r="E366" s="596" t="s">
        <v>782</v>
      </c>
      <c r="F366" s="637" t="s">
        <v>781</v>
      </c>
      <c r="G366" s="1154">
        <v>90000</v>
      </c>
      <c r="H366" s="1154"/>
      <c r="I366" s="1154"/>
      <c r="J366" s="1154">
        <f t="shared" si="58"/>
        <v>90000</v>
      </c>
      <c r="K366" s="1154">
        <v>0</v>
      </c>
      <c r="L366" s="1154"/>
      <c r="M366" s="1154"/>
      <c r="N366" s="1154">
        <f t="shared" si="59"/>
        <v>0</v>
      </c>
      <c r="O366" s="1154">
        <f t="shared" si="60"/>
        <v>90000</v>
      </c>
      <c r="P366" s="1155">
        <f t="shared" si="61"/>
        <v>90000</v>
      </c>
    </row>
    <row r="367" spans="1:16" s="651" customFormat="1" ht="48" customHeight="1">
      <c r="A367" s="1320" t="s">
        <v>394</v>
      </c>
      <c r="B367" s="1307" t="s">
        <v>690</v>
      </c>
      <c r="C367" s="1307" t="s">
        <v>391</v>
      </c>
      <c r="D367" s="1310">
        <v>421</v>
      </c>
      <c r="E367" s="1321">
        <v>614515</v>
      </c>
      <c r="F367" s="1322" t="s">
        <v>1394</v>
      </c>
      <c r="G367" s="1303">
        <v>0</v>
      </c>
      <c r="H367" s="1303">
        <v>20000</v>
      </c>
      <c r="I367" s="1303"/>
      <c r="J367" s="1303">
        <f t="shared" si="58"/>
        <v>20000</v>
      </c>
      <c r="K367" s="1303"/>
      <c r="L367" s="1303"/>
      <c r="M367" s="1303"/>
      <c r="N367" s="1303">
        <f>K367+L367-M367</f>
        <v>0</v>
      </c>
      <c r="O367" s="1303">
        <f>G367+K367</f>
        <v>0</v>
      </c>
      <c r="P367" s="1304">
        <f>J367+N367</f>
        <v>20000</v>
      </c>
    </row>
    <row r="368" spans="1:16" s="651" customFormat="1" ht="40.5" customHeight="1">
      <c r="A368" s="659" t="s">
        <v>394</v>
      </c>
      <c r="B368" s="595" t="s">
        <v>690</v>
      </c>
      <c r="C368" s="630" t="s">
        <v>391</v>
      </c>
      <c r="D368" s="590">
        <v>474</v>
      </c>
      <c r="E368" s="596">
        <v>614530</v>
      </c>
      <c r="F368" s="637" t="s">
        <v>46</v>
      </c>
      <c r="G368" s="1154">
        <v>60000</v>
      </c>
      <c r="H368" s="1154"/>
      <c r="I368" s="1154"/>
      <c r="J368" s="1154">
        <f t="shared" si="58"/>
        <v>60000</v>
      </c>
      <c r="K368" s="1154">
        <v>0</v>
      </c>
      <c r="L368" s="1154"/>
      <c r="M368" s="1154"/>
      <c r="N368" s="1154">
        <f t="shared" si="59"/>
        <v>0</v>
      </c>
      <c r="O368" s="1154">
        <f t="shared" si="60"/>
        <v>60000</v>
      </c>
      <c r="P368" s="1155">
        <f t="shared" si="61"/>
        <v>60000</v>
      </c>
    </row>
    <row r="369" spans="1:16" s="651" customFormat="1" ht="43.5" customHeight="1">
      <c r="A369" s="1323" t="s">
        <v>394</v>
      </c>
      <c r="B369" s="1312" t="s">
        <v>690</v>
      </c>
      <c r="C369" s="1324" t="s">
        <v>391</v>
      </c>
      <c r="D369" s="1313">
        <v>421</v>
      </c>
      <c r="E369" s="1313" t="s">
        <v>283</v>
      </c>
      <c r="F369" s="1325" t="s">
        <v>600</v>
      </c>
      <c r="G369" s="1315">
        <v>70000</v>
      </c>
      <c r="H369" s="1315"/>
      <c r="I369" s="1315">
        <v>60000</v>
      </c>
      <c r="J369" s="1315">
        <f t="shared" si="58"/>
        <v>10000</v>
      </c>
      <c r="K369" s="1315">
        <v>0</v>
      </c>
      <c r="L369" s="1315"/>
      <c r="M369" s="1315"/>
      <c r="N369" s="1315">
        <f t="shared" si="59"/>
        <v>0</v>
      </c>
      <c r="O369" s="1315">
        <f t="shared" si="60"/>
        <v>70000</v>
      </c>
      <c r="P369" s="1316">
        <f t="shared" si="61"/>
        <v>10000</v>
      </c>
    </row>
    <row r="370" spans="1:16" s="651" customFormat="1" ht="54" customHeight="1">
      <c r="A370" s="661" t="s">
        <v>394</v>
      </c>
      <c r="B370" s="571" t="s">
        <v>690</v>
      </c>
      <c r="C370" s="885" t="s">
        <v>391</v>
      </c>
      <c r="D370" s="656">
        <v>741</v>
      </c>
      <c r="E370" s="656" t="s">
        <v>760</v>
      </c>
      <c r="F370" s="573" t="s">
        <v>1319</v>
      </c>
      <c r="G370" s="1204">
        <v>50000</v>
      </c>
      <c r="H370" s="1204"/>
      <c r="I370" s="1204"/>
      <c r="J370" s="1154">
        <f t="shared" si="58"/>
        <v>50000</v>
      </c>
      <c r="K370" s="1204">
        <v>0</v>
      </c>
      <c r="L370" s="1204"/>
      <c r="M370" s="1204"/>
      <c r="N370" s="1154">
        <f t="shared" si="59"/>
        <v>0</v>
      </c>
      <c r="O370" s="1204">
        <f t="shared" si="60"/>
        <v>50000</v>
      </c>
      <c r="P370" s="1155">
        <f t="shared" si="61"/>
        <v>50000</v>
      </c>
    </row>
    <row r="371" spans="1:16" s="651" customFormat="1" ht="49.5" customHeight="1">
      <c r="A371" s="881"/>
      <c r="B371" s="882"/>
      <c r="C371" s="882"/>
      <c r="D371" s="622"/>
      <c r="E371" s="623">
        <v>820000</v>
      </c>
      <c r="F371" s="887" t="s">
        <v>527</v>
      </c>
      <c r="G371" s="1181"/>
      <c r="H371" s="1181"/>
      <c r="I371" s="1181"/>
      <c r="J371" s="1181"/>
      <c r="K371" s="1181"/>
      <c r="L371" s="1181"/>
      <c r="M371" s="1181"/>
      <c r="N371" s="1181"/>
      <c r="O371" s="1181"/>
      <c r="P371" s="1203"/>
    </row>
    <row r="372" spans="1:16" s="651" customFormat="1" ht="49.5" customHeight="1">
      <c r="A372" s="1311" t="s">
        <v>394</v>
      </c>
      <c r="B372" s="1312" t="s">
        <v>690</v>
      </c>
      <c r="C372" s="1312" t="s">
        <v>391</v>
      </c>
      <c r="D372" s="1313">
        <v>911</v>
      </c>
      <c r="E372" s="1313" t="s">
        <v>935</v>
      </c>
      <c r="F372" s="1325" t="s">
        <v>936</v>
      </c>
      <c r="G372" s="1315">
        <v>650000</v>
      </c>
      <c r="H372" s="1315"/>
      <c r="I372" s="1315">
        <v>34300</v>
      </c>
      <c r="J372" s="1315">
        <f>G372+H372-I372</f>
        <v>615700</v>
      </c>
      <c r="K372" s="1315">
        <v>0</v>
      </c>
      <c r="L372" s="1315"/>
      <c r="M372" s="1315"/>
      <c r="N372" s="1315">
        <f>K372+L372-M372</f>
        <v>0</v>
      </c>
      <c r="O372" s="1315">
        <f>G372+K372</f>
        <v>650000</v>
      </c>
      <c r="P372" s="1316">
        <f>J372+N372</f>
        <v>615700</v>
      </c>
    </row>
    <row r="373" spans="1:16" s="651" customFormat="1" ht="49.5" customHeight="1">
      <c r="A373" s="1311" t="s">
        <v>394</v>
      </c>
      <c r="B373" s="1312" t="s">
        <v>690</v>
      </c>
      <c r="C373" s="1312" t="s">
        <v>391</v>
      </c>
      <c r="D373" s="1313">
        <v>662</v>
      </c>
      <c r="E373" s="1313" t="s">
        <v>406</v>
      </c>
      <c r="F373" s="1325" t="s">
        <v>773</v>
      </c>
      <c r="G373" s="1315">
        <v>181181.43</v>
      </c>
      <c r="H373" s="1315"/>
      <c r="I373" s="1315">
        <v>113000</v>
      </c>
      <c r="J373" s="1315">
        <f>G373+H373-I373</f>
        <v>68181.43</v>
      </c>
      <c r="K373" s="1315">
        <v>71463.17</v>
      </c>
      <c r="L373" s="1315"/>
      <c r="M373" s="1315"/>
      <c r="N373" s="1315">
        <f>K373+L373-M373</f>
        <v>71463.17</v>
      </c>
      <c r="O373" s="1315">
        <f>G373+K373</f>
        <v>252644.59999999998</v>
      </c>
      <c r="P373" s="1316">
        <f>J373+N373</f>
        <v>139644.59999999998</v>
      </c>
    </row>
    <row r="374" spans="1:16" s="651" customFormat="1" ht="49.5" customHeight="1" thickBot="1">
      <c r="A374" s="665"/>
      <c r="B374" s="666"/>
      <c r="C374" s="666"/>
      <c r="D374" s="413"/>
      <c r="E374" s="413"/>
      <c r="F374" s="667" t="s">
        <v>1115</v>
      </c>
      <c r="G374" s="1196">
        <f aca="true" t="shared" si="62" ref="G374:P374">SUM(G362:G373)</f>
        <v>1221181.43</v>
      </c>
      <c r="H374" s="1196">
        <f t="shared" si="62"/>
        <v>60000</v>
      </c>
      <c r="I374" s="1196">
        <f t="shared" si="62"/>
        <v>207300</v>
      </c>
      <c r="J374" s="1196">
        <f t="shared" si="62"/>
        <v>1073881.43</v>
      </c>
      <c r="K374" s="1196">
        <f t="shared" si="62"/>
        <v>71463.17</v>
      </c>
      <c r="L374" s="1196">
        <f t="shared" si="62"/>
        <v>0</v>
      </c>
      <c r="M374" s="1196">
        <f t="shared" si="62"/>
        <v>0</v>
      </c>
      <c r="N374" s="1196">
        <f t="shared" si="62"/>
        <v>71463.17</v>
      </c>
      <c r="O374" s="1197">
        <f t="shared" si="62"/>
        <v>1292644.6</v>
      </c>
      <c r="P374" s="1198">
        <f t="shared" si="62"/>
        <v>1145344.6</v>
      </c>
    </row>
    <row r="375" spans="1:16" s="651" customFormat="1" ht="250.5" customHeight="1">
      <c r="A375" s="401" t="s">
        <v>494</v>
      </c>
      <c r="B375" s="402" t="s">
        <v>495</v>
      </c>
      <c r="C375" s="403" t="s">
        <v>687</v>
      </c>
      <c r="D375" s="404" t="s">
        <v>497</v>
      </c>
      <c r="E375" s="404" t="s">
        <v>188</v>
      </c>
      <c r="F375" s="405" t="s">
        <v>496</v>
      </c>
      <c r="G375" s="813" t="s">
        <v>1322</v>
      </c>
      <c r="H375" s="813" t="s">
        <v>1324</v>
      </c>
      <c r="I375" s="813" t="s">
        <v>1325</v>
      </c>
      <c r="J375" s="813" t="s">
        <v>1326</v>
      </c>
      <c r="K375" s="813" t="s">
        <v>1323</v>
      </c>
      <c r="L375" s="813" t="s">
        <v>1327</v>
      </c>
      <c r="M375" s="813" t="s">
        <v>1328</v>
      </c>
      <c r="N375" s="813" t="s">
        <v>1329</v>
      </c>
      <c r="O375" s="1278" t="s">
        <v>1321</v>
      </c>
      <c r="P375" s="1149" t="s">
        <v>1330</v>
      </c>
    </row>
    <row r="376" spans="1:16" s="651" customFormat="1" ht="49.5" customHeight="1">
      <c r="A376" s="1533">
        <v>0</v>
      </c>
      <c r="B376" s="1534"/>
      <c r="C376" s="1534"/>
      <c r="D376" s="409">
        <v>1</v>
      </c>
      <c r="E376" s="409">
        <v>2</v>
      </c>
      <c r="F376" s="410">
        <v>3</v>
      </c>
      <c r="G376" s="1150">
        <v>4</v>
      </c>
      <c r="H376" s="1150">
        <v>5</v>
      </c>
      <c r="I376" s="1150">
        <v>6</v>
      </c>
      <c r="J376" s="1150">
        <v>7</v>
      </c>
      <c r="K376" s="1150">
        <v>8</v>
      </c>
      <c r="L376" s="1150">
        <v>9</v>
      </c>
      <c r="M376" s="1150">
        <v>10</v>
      </c>
      <c r="N376" s="1150">
        <v>11</v>
      </c>
      <c r="O376" s="1150">
        <v>12</v>
      </c>
      <c r="P376" s="1151">
        <v>13</v>
      </c>
    </row>
    <row r="377" spans="1:16" s="651" customFormat="1" ht="57" customHeight="1">
      <c r="A377" s="824" t="s">
        <v>394</v>
      </c>
      <c r="B377" s="484"/>
      <c r="C377" s="484"/>
      <c r="D377" s="413"/>
      <c r="E377" s="530"/>
      <c r="F377" s="487" t="s">
        <v>1035</v>
      </c>
      <c r="G377" s="415"/>
      <c r="H377" s="415"/>
      <c r="I377" s="415"/>
      <c r="J377" s="415"/>
      <c r="K377" s="415"/>
      <c r="L377" s="415"/>
      <c r="M377" s="415"/>
      <c r="N377" s="415"/>
      <c r="O377" s="415"/>
      <c r="P377" s="1152"/>
    </row>
    <row r="378" spans="1:16" s="651" customFormat="1" ht="79.5" customHeight="1">
      <c r="A378" s="825" t="s">
        <v>394</v>
      </c>
      <c r="B378" s="1118" t="s">
        <v>397</v>
      </c>
      <c r="C378" s="1118" t="s">
        <v>391</v>
      </c>
      <c r="D378" s="420"/>
      <c r="E378" s="531"/>
      <c r="F378" s="492" t="s">
        <v>1432</v>
      </c>
      <c r="G378" s="422"/>
      <c r="H378" s="422"/>
      <c r="I378" s="422"/>
      <c r="J378" s="422"/>
      <c r="K378" s="422"/>
      <c r="L378" s="422"/>
      <c r="M378" s="422"/>
      <c r="N378" s="422"/>
      <c r="O378" s="422"/>
      <c r="P378" s="1153"/>
    </row>
    <row r="379" spans="1:16" s="651" customFormat="1" ht="57" customHeight="1">
      <c r="A379" s="488"/>
      <c r="B379" s="489"/>
      <c r="C379" s="532"/>
      <c r="D379" s="420"/>
      <c r="E379" s="531">
        <v>610000</v>
      </c>
      <c r="F379" s="1485" t="s">
        <v>498</v>
      </c>
      <c r="G379" s="422"/>
      <c r="H379" s="422"/>
      <c r="I379" s="422"/>
      <c r="J379" s="422"/>
      <c r="K379" s="422"/>
      <c r="L379" s="422"/>
      <c r="M379" s="422"/>
      <c r="N379" s="422"/>
      <c r="O379" s="422"/>
      <c r="P379" s="1153"/>
    </row>
    <row r="380" spans="1:16" s="651" customFormat="1" ht="49.5" customHeight="1">
      <c r="A380" s="1306" t="s">
        <v>394</v>
      </c>
      <c r="B380" s="1486" t="s">
        <v>397</v>
      </c>
      <c r="C380" s="1487" t="s">
        <v>391</v>
      </c>
      <c r="D380" s="1300">
        <v>1091</v>
      </c>
      <c r="E380" s="1467" t="s">
        <v>1423</v>
      </c>
      <c r="F380" s="1468" t="s">
        <v>1439</v>
      </c>
      <c r="G380" s="1303">
        <v>0</v>
      </c>
      <c r="H380" s="1303">
        <v>600000</v>
      </c>
      <c r="I380" s="1303"/>
      <c r="J380" s="1303">
        <f>G380+H380-I380</f>
        <v>600000</v>
      </c>
      <c r="K380" s="1303"/>
      <c r="L380" s="1303"/>
      <c r="M380" s="1303"/>
      <c r="N380" s="1303">
        <f>K380+L380-M380</f>
        <v>0</v>
      </c>
      <c r="O380" s="1303">
        <f>G380+K380</f>
        <v>0</v>
      </c>
      <c r="P380" s="1304">
        <f>J380+N380</f>
        <v>600000</v>
      </c>
    </row>
    <row r="381" spans="1:16" s="651" customFormat="1" ht="49.5" customHeight="1" thickBot="1">
      <c r="A381" s="546"/>
      <c r="B381" s="1462"/>
      <c r="C381" s="548"/>
      <c r="D381" s="549"/>
      <c r="E381" s="550"/>
      <c r="F381" s="1045" t="s">
        <v>1411</v>
      </c>
      <c r="G381" s="1272">
        <f aca="true" t="shared" si="63" ref="G381:P381">SUM(G380:G380)</f>
        <v>0</v>
      </c>
      <c r="H381" s="1272">
        <f t="shared" si="63"/>
        <v>600000</v>
      </c>
      <c r="I381" s="1272">
        <f t="shared" si="63"/>
        <v>0</v>
      </c>
      <c r="J381" s="1272">
        <f t="shared" si="63"/>
        <v>600000</v>
      </c>
      <c r="K381" s="1272">
        <f t="shared" si="63"/>
        <v>0</v>
      </c>
      <c r="L381" s="1272">
        <f t="shared" si="63"/>
        <v>0</v>
      </c>
      <c r="M381" s="1272">
        <f t="shared" si="63"/>
        <v>0</v>
      </c>
      <c r="N381" s="1272">
        <f t="shared" si="63"/>
        <v>0</v>
      </c>
      <c r="O381" s="1272">
        <f t="shared" si="63"/>
        <v>0</v>
      </c>
      <c r="P381" s="1272">
        <f t="shared" si="63"/>
        <v>600000</v>
      </c>
    </row>
    <row r="382" spans="1:16" ht="75" customHeight="1" thickBot="1">
      <c r="A382" s="554"/>
      <c r="B382" s="555"/>
      <c r="C382" s="555"/>
      <c r="D382" s="556"/>
      <c r="E382" s="556"/>
      <c r="F382" s="668" t="s">
        <v>1071</v>
      </c>
      <c r="G382" s="1186">
        <f>SUM(G374,G323,G296,G223,G353,G268,G240,G381,)</f>
        <v>7722165.29</v>
      </c>
      <c r="H382" s="1186">
        <f aca="true" t="shared" si="64" ref="H382:P382">SUM(H374,H323,H296,H223,H353,H268,H240,H381,)</f>
        <v>1374000</v>
      </c>
      <c r="I382" s="1186">
        <f t="shared" si="64"/>
        <v>358300</v>
      </c>
      <c r="J382" s="1186">
        <f t="shared" si="64"/>
        <v>8737865.29</v>
      </c>
      <c r="K382" s="1186">
        <f t="shared" si="64"/>
        <v>2783573.77</v>
      </c>
      <c r="L382" s="1186">
        <f t="shared" si="64"/>
        <v>0</v>
      </c>
      <c r="M382" s="1186">
        <f t="shared" si="64"/>
        <v>100000</v>
      </c>
      <c r="N382" s="1186">
        <f t="shared" si="64"/>
        <v>2683573.77</v>
      </c>
      <c r="O382" s="1186">
        <f t="shared" si="64"/>
        <v>10505739.059999999</v>
      </c>
      <c r="P382" s="1186">
        <f t="shared" si="64"/>
        <v>11421439.059999999</v>
      </c>
    </row>
    <row r="383" spans="1:16" ht="285" customHeight="1">
      <c r="A383" s="401" t="s">
        <v>494</v>
      </c>
      <c r="B383" s="402" t="s">
        <v>495</v>
      </c>
      <c r="C383" s="403" t="s">
        <v>687</v>
      </c>
      <c r="D383" s="404" t="s">
        <v>497</v>
      </c>
      <c r="E383" s="404" t="s">
        <v>188</v>
      </c>
      <c r="F383" s="405" t="s">
        <v>496</v>
      </c>
      <c r="G383" s="813" t="s">
        <v>1322</v>
      </c>
      <c r="H383" s="813" t="s">
        <v>1324</v>
      </c>
      <c r="I383" s="813" t="s">
        <v>1325</v>
      </c>
      <c r="J383" s="813" t="s">
        <v>1326</v>
      </c>
      <c r="K383" s="813" t="s">
        <v>1323</v>
      </c>
      <c r="L383" s="813" t="s">
        <v>1327</v>
      </c>
      <c r="M383" s="813" t="s">
        <v>1328</v>
      </c>
      <c r="N383" s="813" t="s">
        <v>1329</v>
      </c>
      <c r="O383" s="1278" t="s">
        <v>1321</v>
      </c>
      <c r="P383" s="1149" t="s">
        <v>1330</v>
      </c>
    </row>
    <row r="384" spans="1:16" ht="18" customHeight="1">
      <c r="A384" s="1533">
        <v>0</v>
      </c>
      <c r="B384" s="1534"/>
      <c r="C384" s="1534"/>
      <c r="D384" s="409">
        <v>1</v>
      </c>
      <c r="E384" s="409">
        <v>2</v>
      </c>
      <c r="F384" s="410">
        <v>3</v>
      </c>
      <c r="G384" s="1150">
        <v>4</v>
      </c>
      <c r="H384" s="1150">
        <v>5</v>
      </c>
      <c r="I384" s="1150">
        <v>6</v>
      </c>
      <c r="J384" s="1150">
        <v>7</v>
      </c>
      <c r="K384" s="1150">
        <v>8</v>
      </c>
      <c r="L384" s="1150">
        <v>9</v>
      </c>
      <c r="M384" s="1150">
        <v>10</v>
      </c>
      <c r="N384" s="1150">
        <v>11</v>
      </c>
      <c r="O384" s="1150">
        <v>12</v>
      </c>
      <c r="P384" s="1151">
        <v>13</v>
      </c>
    </row>
    <row r="385" spans="1:16" ht="57.75" customHeight="1">
      <c r="A385" s="483" t="s">
        <v>395</v>
      </c>
      <c r="B385" s="484"/>
      <c r="C385" s="484"/>
      <c r="D385" s="413"/>
      <c r="E385" s="443"/>
      <c r="F385" s="669" t="s">
        <v>469</v>
      </c>
      <c r="G385" s="415"/>
      <c r="H385" s="415"/>
      <c r="I385" s="415"/>
      <c r="J385" s="415"/>
      <c r="K385" s="415"/>
      <c r="L385" s="415"/>
      <c r="M385" s="415"/>
      <c r="N385" s="415"/>
      <c r="O385" s="415"/>
      <c r="P385" s="1152"/>
    </row>
    <row r="386" spans="1:16" ht="59.25" customHeight="1">
      <c r="A386" s="488" t="s">
        <v>395</v>
      </c>
      <c r="B386" s="489" t="s">
        <v>390</v>
      </c>
      <c r="C386" s="489"/>
      <c r="D386" s="420"/>
      <c r="E386" s="600"/>
      <c r="F386" s="460" t="s">
        <v>708</v>
      </c>
      <c r="G386" s="422"/>
      <c r="H386" s="422"/>
      <c r="I386" s="422"/>
      <c r="J386" s="422"/>
      <c r="K386" s="422"/>
      <c r="L386" s="422"/>
      <c r="M386" s="422"/>
      <c r="N386" s="422"/>
      <c r="O386" s="422"/>
      <c r="P386" s="1153"/>
    </row>
    <row r="387" spans="1:16" ht="46.5" customHeight="1">
      <c r="A387" s="424"/>
      <c r="B387" s="425"/>
      <c r="C387" s="425"/>
      <c r="D387" s="420"/>
      <c r="E387" s="426">
        <v>610000</v>
      </c>
      <c r="F387" s="427" t="s">
        <v>529</v>
      </c>
      <c r="G387" s="422"/>
      <c r="H387" s="422"/>
      <c r="I387" s="422"/>
      <c r="J387" s="422"/>
      <c r="K387" s="422"/>
      <c r="L387" s="422"/>
      <c r="M387" s="422"/>
      <c r="N387" s="422"/>
      <c r="O387" s="422"/>
      <c r="P387" s="1153"/>
    </row>
    <row r="388" spans="1:16" ht="51" customHeight="1">
      <c r="A388" s="625" t="s">
        <v>395</v>
      </c>
      <c r="B388" s="595" t="s">
        <v>390</v>
      </c>
      <c r="C388" s="691" t="s">
        <v>391</v>
      </c>
      <c r="D388" s="888">
        <v>662</v>
      </c>
      <c r="E388" s="596">
        <v>611100</v>
      </c>
      <c r="F388" s="626" t="s">
        <v>962</v>
      </c>
      <c r="G388" s="1154">
        <v>458500</v>
      </c>
      <c r="H388" s="1154"/>
      <c r="I388" s="1154"/>
      <c r="J388" s="1154">
        <f aca="true" t="shared" si="65" ref="J388:J396">G388+H388-I388</f>
        <v>458500</v>
      </c>
      <c r="K388" s="1154">
        <v>0</v>
      </c>
      <c r="L388" s="1154"/>
      <c r="M388" s="1154"/>
      <c r="N388" s="1154">
        <f aca="true" t="shared" si="66" ref="N388:N396">K388+L388-M388</f>
        <v>0</v>
      </c>
      <c r="O388" s="1154">
        <f aca="true" t="shared" si="67" ref="O388:O396">G388+K388</f>
        <v>458500</v>
      </c>
      <c r="P388" s="1155">
        <f aca="true" t="shared" si="68" ref="P388:P396">J388+N388</f>
        <v>458500</v>
      </c>
    </row>
    <row r="389" spans="1:16" s="651" customFormat="1" ht="39" customHeight="1">
      <c r="A389" s="625" t="s">
        <v>395</v>
      </c>
      <c r="B389" s="595" t="s">
        <v>390</v>
      </c>
      <c r="C389" s="691" t="s">
        <v>391</v>
      </c>
      <c r="D389" s="888">
        <v>662</v>
      </c>
      <c r="E389" s="596">
        <v>611200</v>
      </c>
      <c r="F389" s="627" t="s">
        <v>514</v>
      </c>
      <c r="G389" s="1154">
        <v>90000</v>
      </c>
      <c r="H389" s="1154"/>
      <c r="I389" s="1154"/>
      <c r="J389" s="1154">
        <f t="shared" si="65"/>
        <v>90000</v>
      </c>
      <c r="K389" s="1154">
        <v>0</v>
      </c>
      <c r="L389" s="1154"/>
      <c r="M389" s="1154"/>
      <c r="N389" s="1154">
        <f t="shared" si="66"/>
        <v>0</v>
      </c>
      <c r="O389" s="1154">
        <f t="shared" si="67"/>
        <v>90000</v>
      </c>
      <c r="P389" s="1155">
        <f t="shared" si="68"/>
        <v>90000</v>
      </c>
    </row>
    <row r="390" spans="1:16" ht="36.75" customHeight="1">
      <c r="A390" s="625" t="s">
        <v>395</v>
      </c>
      <c r="B390" s="595" t="s">
        <v>390</v>
      </c>
      <c r="C390" s="691" t="s">
        <v>391</v>
      </c>
      <c r="D390" s="888">
        <v>662</v>
      </c>
      <c r="E390" s="464">
        <v>612000</v>
      </c>
      <c r="F390" s="627" t="s">
        <v>889</v>
      </c>
      <c r="G390" s="1154">
        <v>50000</v>
      </c>
      <c r="H390" s="1154"/>
      <c r="I390" s="1154"/>
      <c r="J390" s="1154">
        <f t="shared" si="65"/>
        <v>50000</v>
      </c>
      <c r="K390" s="1154">
        <v>0</v>
      </c>
      <c r="L390" s="1154"/>
      <c r="M390" s="1154"/>
      <c r="N390" s="1154">
        <f t="shared" si="66"/>
        <v>0</v>
      </c>
      <c r="O390" s="1154">
        <f t="shared" si="67"/>
        <v>50000</v>
      </c>
      <c r="P390" s="1155">
        <f t="shared" si="68"/>
        <v>50000</v>
      </c>
    </row>
    <row r="391" spans="1:16" ht="36.75" customHeight="1">
      <c r="A391" s="1311" t="s">
        <v>395</v>
      </c>
      <c r="B391" s="1312" t="s">
        <v>390</v>
      </c>
      <c r="C391" s="1336" t="s">
        <v>391</v>
      </c>
      <c r="D391" s="1339">
        <v>662</v>
      </c>
      <c r="E391" s="1317">
        <v>613100</v>
      </c>
      <c r="F391" s="1343" t="s">
        <v>515</v>
      </c>
      <c r="G391" s="1315">
        <v>4000</v>
      </c>
      <c r="H391" s="1315"/>
      <c r="I391" s="1315">
        <v>1000</v>
      </c>
      <c r="J391" s="1315">
        <f t="shared" si="65"/>
        <v>3000</v>
      </c>
      <c r="K391" s="1315">
        <v>0</v>
      </c>
      <c r="L391" s="1315"/>
      <c r="M391" s="1315"/>
      <c r="N391" s="1315">
        <f t="shared" si="66"/>
        <v>0</v>
      </c>
      <c r="O391" s="1315">
        <f t="shared" si="67"/>
        <v>4000</v>
      </c>
      <c r="P391" s="1316">
        <f t="shared" si="68"/>
        <v>3000</v>
      </c>
    </row>
    <row r="392" spans="1:16" ht="35.25" customHeight="1">
      <c r="A392" s="625" t="s">
        <v>395</v>
      </c>
      <c r="B392" s="595" t="s">
        <v>390</v>
      </c>
      <c r="C392" s="691" t="s">
        <v>391</v>
      </c>
      <c r="D392" s="888">
        <v>662</v>
      </c>
      <c r="E392" s="464">
        <v>613310</v>
      </c>
      <c r="F392" s="465" t="s">
        <v>616</v>
      </c>
      <c r="G392" s="1154">
        <v>9000</v>
      </c>
      <c r="H392" s="1154"/>
      <c r="I392" s="1154"/>
      <c r="J392" s="1154">
        <f t="shared" si="65"/>
        <v>9000</v>
      </c>
      <c r="K392" s="1154">
        <v>0</v>
      </c>
      <c r="L392" s="1154"/>
      <c r="M392" s="1154"/>
      <c r="N392" s="1154">
        <f t="shared" si="66"/>
        <v>0</v>
      </c>
      <c r="O392" s="1154">
        <f t="shared" si="67"/>
        <v>9000</v>
      </c>
      <c r="P392" s="1155">
        <f t="shared" si="68"/>
        <v>9000</v>
      </c>
    </row>
    <row r="393" spans="1:16" ht="33" customHeight="1">
      <c r="A393" s="625" t="s">
        <v>395</v>
      </c>
      <c r="B393" s="595" t="s">
        <v>390</v>
      </c>
      <c r="C393" s="691" t="s">
        <v>391</v>
      </c>
      <c r="D393" s="888">
        <v>662</v>
      </c>
      <c r="E393" s="464">
        <v>613400</v>
      </c>
      <c r="F393" s="598" t="s">
        <v>501</v>
      </c>
      <c r="G393" s="1154">
        <v>7000</v>
      </c>
      <c r="H393" s="1154"/>
      <c r="I393" s="1154"/>
      <c r="J393" s="1154">
        <f t="shared" si="65"/>
        <v>7000</v>
      </c>
      <c r="K393" s="1154">
        <v>0</v>
      </c>
      <c r="L393" s="1154"/>
      <c r="M393" s="1154"/>
      <c r="N393" s="1154">
        <f t="shared" si="66"/>
        <v>0</v>
      </c>
      <c r="O393" s="1154">
        <f t="shared" si="67"/>
        <v>7000</v>
      </c>
      <c r="P393" s="1155">
        <f t="shared" si="68"/>
        <v>7000</v>
      </c>
    </row>
    <row r="394" spans="1:16" ht="36" customHeight="1">
      <c r="A394" s="625" t="s">
        <v>395</v>
      </c>
      <c r="B394" s="595" t="s">
        <v>390</v>
      </c>
      <c r="C394" s="691" t="s">
        <v>391</v>
      </c>
      <c r="D394" s="888">
        <v>662</v>
      </c>
      <c r="E394" s="464">
        <v>613720</v>
      </c>
      <c r="F394" s="598" t="s">
        <v>530</v>
      </c>
      <c r="G394" s="1154">
        <v>2000</v>
      </c>
      <c r="H394" s="1154"/>
      <c r="I394" s="1154"/>
      <c r="J394" s="1154">
        <f t="shared" si="65"/>
        <v>2000</v>
      </c>
      <c r="K394" s="1154">
        <v>0</v>
      </c>
      <c r="L394" s="1154"/>
      <c r="M394" s="1154"/>
      <c r="N394" s="1154">
        <f t="shared" si="66"/>
        <v>0</v>
      </c>
      <c r="O394" s="1154">
        <f t="shared" si="67"/>
        <v>2000</v>
      </c>
      <c r="P394" s="1155">
        <f t="shared" si="68"/>
        <v>2000</v>
      </c>
    </row>
    <row r="395" spans="1:16" ht="37.5" customHeight="1">
      <c r="A395" s="625" t="s">
        <v>395</v>
      </c>
      <c r="B395" s="595" t="s">
        <v>390</v>
      </c>
      <c r="C395" s="691" t="s">
        <v>391</v>
      </c>
      <c r="D395" s="888">
        <v>662</v>
      </c>
      <c r="E395" s="464">
        <v>613910</v>
      </c>
      <c r="F395" s="598" t="s">
        <v>502</v>
      </c>
      <c r="G395" s="1154">
        <v>19446</v>
      </c>
      <c r="H395" s="1154"/>
      <c r="I395" s="1154"/>
      <c r="J395" s="1154">
        <f t="shared" si="65"/>
        <v>19446</v>
      </c>
      <c r="K395" s="1154">
        <v>0</v>
      </c>
      <c r="L395" s="1154"/>
      <c r="M395" s="1154"/>
      <c r="N395" s="1154">
        <f t="shared" si="66"/>
        <v>0</v>
      </c>
      <c r="O395" s="1154">
        <f t="shared" si="67"/>
        <v>19446</v>
      </c>
      <c r="P395" s="1155">
        <f t="shared" si="68"/>
        <v>19446</v>
      </c>
    </row>
    <row r="396" spans="1:16" ht="37.5" customHeight="1">
      <c r="A396" s="625" t="s">
        <v>395</v>
      </c>
      <c r="B396" s="595" t="s">
        <v>390</v>
      </c>
      <c r="C396" s="691" t="s">
        <v>391</v>
      </c>
      <c r="D396" s="888">
        <v>662</v>
      </c>
      <c r="E396" s="580" t="s">
        <v>621</v>
      </c>
      <c r="F396" s="943" t="s">
        <v>517</v>
      </c>
      <c r="G396" s="1154">
        <v>8000</v>
      </c>
      <c r="H396" s="1154"/>
      <c r="I396" s="1154"/>
      <c r="J396" s="1154">
        <f t="shared" si="65"/>
        <v>8000</v>
      </c>
      <c r="K396" s="1154">
        <v>0</v>
      </c>
      <c r="L396" s="1154"/>
      <c r="M396" s="1154"/>
      <c r="N396" s="1154">
        <f t="shared" si="66"/>
        <v>0</v>
      </c>
      <c r="O396" s="1154">
        <f t="shared" si="67"/>
        <v>8000</v>
      </c>
      <c r="P396" s="1155">
        <f t="shared" si="68"/>
        <v>8000</v>
      </c>
    </row>
    <row r="397" spans="1:16" ht="48" customHeight="1">
      <c r="A397" s="632"/>
      <c r="B397" s="633"/>
      <c r="C397" s="1072"/>
      <c r="D397" s="928"/>
      <c r="E397" s="635">
        <v>820000</v>
      </c>
      <c r="F397" s="879" t="s">
        <v>654</v>
      </c>
      <c r="G397" s="1158"/>
      <c r="H397" s="1158"/>
      <c r="I397" s="1158"/>
      <c r="J397" s="1158"/>
      <c r="K397" s="1158"/>
      <c r="L397" s="1158"/>
      <c r="M397" s="1158"/>
      <c r="N397" s="1158"/>
      <c r="O397" s="1158"/>
      <c r="P397" s="1159"/>
    </row>
    <row r="398" spans="1:16" ht="39" customHeight="1">
      <c r="A398" s="1311" t="s">
        <v>395</v>
      </c>
      <c r="B398" s="1312" t="s">
        <v>390</v>
      </c>
      <c r="C398" s="1336" t="s">
        <v>391</v>
      </c>
      <c r="D398" s="1339">
        <v>662</v>
      </c>
      <c r="E398" s="1313">
        <v>821300</v>
      </c>
      <c r="F398" s="1342" t="s">
        <v>528</v>
      </c>
      <c r="G398" s="1315">
        <v>10000</v>
      </c>
      <c r="H398" s="1315"/>
      <c r="I398" s="1315">
        <v>10000</v>
      </c>
      <c r="J398" s="1315">
        <f>G398+H398-I398</f>
        <v>0</v>
      </c>
      <c r="K398" s="1315">
        <v>0</v>
      </c>
      <c r="L398" s="1315"/>
      <c r="M398" s="1315"/>
      <c r="N398" s="1315">
        <f>K398+L398-M398</f>
        <v>0</v>
      </c>
      <c r="O398" s="1315">
        <f>G398+K398</f>
        <v>10000</v>
      </c>
      <c r="P398" s="1316">
        <f>J398+N398</f>
        <v>0</v>
      </c>
    </row>
    <row r="399" spans="1:16" ht="59.25" customHeight="1" thickBot="1">
      <c r="A399" s="539"/>
      <c r="B399" s="540"/>
      <c r="C399" s="540"/>
      <c r="D399" s="453"/>
      <c r="E399" s="670"/>
      <c r="F399" s="515" t="s">
        <v>823</v>
      </c>
      <c r="G399" s="1160">
        <f aca="true" t="shared" si="69" ref="G399:P399">SUM(G388:G398)</f>
        <v>657946</v>
      </c>
      <c r="H399" s="1160">
        <f t="shared" si="69"/>
        <v>0</v>
      </c>
      <c r="I399" s="1160">
        <f t="shared" si="69"/>
        <v>11000</v>
      </c>
      <c r="J399" s="1160">
        <f t="shared" si="69"/>
        <v>646946</v>
      </c>
      <c r="K399" s="1160">
        <f t="shared" si="69"/>
        <v>0</v>
      </c>
      <c r="L399" s="1160">
        <f t="shared" si="69"/>
        <v>0</v>
      </c>
      <c r="M399" s="1160">
        <f t="shared" si="69"/>
        <v>0</v>
      </c>
      <c r="N399" s="1160">
        <f t="shared" si="69"/>
        <v>0</v>
      </c>
      <c r="O399" s="1161">
        <f t="shared" si="69"/>
        <v>657946</v>
      </c>
      <c r="P399" s="1162">
        <f t="shared" si="69"/>
        <v>646946</v>
      </c>
    </row>
    <row r="400" spans="1:16" ht="48" customHeight="1">
      <c r="A400" s="552"/>
      <c r="B400" s="553"/>
      <c r="C400" s="553"/>
      <c r="D400" s="420"/>
      <c r="E400" s="671"/>
      <c r="F400" s="518" t="s">
        <v>1142</v>
      </c>
      <c r="G400" s="1175"/>
      <c r="H400" s="1175"/>
      <c r="I400" s="1175"/>
      <c r="J400" s="1175"/>
      <c r="K400" s="1175"/>
      <c r="L400" s="1175"/>
      <c r="M400" s="1175"/>
      <c r="N400" s="1175"/>
      <c r="O400" s="1175"/>
      <c r="P400" s="1176"/>
    </row>
    <row r="401" spans="1:16" ht="45.75" customHeight="1">
      <c r="A401" s="552"/>
      <c r="B401" s="553"/>
      <c r="C401" s="553"/>
      <c r="D401" s="420"/>
      <c r="E401" s="671"/>
      <c r="F401" s="473" t="s">
        <v>1076</v>
      </c>
      <c r="G401" s="1177"/>
      <c r="H401" s="1177"/>
      <c r="I401" s="1177"/>
      <c r="J401" s="1177"/>
      <c r="K401" s="1177"/>
      <c r="L401" s="1177"/>
      <c r="M401" s="1177"/>
      <c r="N401" s="1177"/>
      <c r="O401" s="1177">
        <v>19</v>
      </c>
      <c r="P401" s="1178"/>
    </row>
    <row r="402" spans="1:16" s="519" customFormat="1" ht="43.5" customHeight="1" thickBot="1">
      <c r="A402" s="585"/>
      <c r="B402" s="475"/>
      <c r="C402" s="475"/>
      <c r="D402" s="477"/>
      <c r="E402" s="672"/>
      <c r="F402" s="515" t="s">
        <v>834</v>
      </c>
      <c r="G402" s="1201"/>
      <c r="H402" s="1201"/>
      <c r="I402" s="1201"/>
      <c r="J402" s="1201"/>
      <c r="K402" s="1201"/>
      <c r="L402" s="1201"/>
      <c r="M402" s="1201"/>
      <c r="N402" s="1201"/>
      <c r="O402" s="1201">
        <v>26</v>
      </c>
      <c r="P402" s="1202"/>
    </row>
    <row r="403" spans="1:16" s="527" customFormat="1" ht="283.5" customHeight="1">
      <c r="A403" s="401" t="s">
        <v>494</v>
      </c>
      <c r="B403" s="402" t="s">
        <v>495</v>
      </c>
      <c r="C403" s="403" t="s">
        <v>687</v>
      </c>
      <c r="D403" s="404" t="s">
        <v>497</v>
      </c>
      <c r="E403" s="404" t="s">
        <v>188</v>
      </c>
      <c r="F403" s="405" t="s">
        <v>496</v>
      </c>
      <c r="G403" s="813" t="s">
        <v>1322</v>
      </c>
      <c r="H403" s="813" t="s">
        <v>1324</v>
      </c>
      <c r="I403" s="813" t="s">
        <v>1325</v>
      </c>
      <c r="J403" s="813" t="s">
        <v>1326</v>
      </c>
      <c r="K403" s="813" t="s">
        <v>1323</v>
      </c>
      <c r="L403" s="813" t="s">
        <v>1327</v>
      </c>
      <c r="M403" s="813" t="s">
        <v>1328</v>
      </c>
      <c r="N403" s="813" t="s">
        <v>1329</v>
      </c>
      <c r="O403" s="1278" t="s">
        <v>1321</v>
      </c>
      <c r="P403" s="1149" t="s">
        <v>1330</v>
      </c>
    </row>
    <row r="404" spans="1:16" ht="18" customHeight="1">
      <c r="A404" s="1533">
        <v>0</v>
      </c>
      <c r="B404" s="1534"/>
      <c r="C404" s="1534"/>
      <c r="D404" s="409">
        <v>1</v>
      </c>
      <c r="E404" s="409">
        <v>2</v>
      </c>
      <c r="F404" s="410">
        <v>3</v>
      </c>
      <c r="G404" s="1150">
        <v>4</v>
      </c>
      <c r="H404" s="1150">
        <v>5</v>
      </c>
      <c r="I404" s="1150">
        <v>6</v>
      </c>
      <c r="J404" s="1150">
        <v>7</v>
      </c>
      <c r="K404" s="1150">
        <v>8</v>
      </c>
      <c r="L404" s="1150">
        <v>9</v>
      </c>
      <c r="M404" s="1150">
        <v>10</v>
      </c>
      <c r="N404" s="1150">
        <v>11</v>
      </c>
      <c r="O404" s="1150">
        <v>12</v>
      </c>
      <c r="P404" s="1151">
        <v>13</v>
      </c>
    </row>
    <row r="405" spans="1:16" ht="43.5" customHeight="1">
      <c r="A405" s="483" t="s">
        <v>395</v>
      </c>
      <c r="B405" s="484"/>
      <c r="C405" s="484"/>
      <c r="D405" s="413"/>
      <c r="E405" s="673"/>
      <c r="F405" s="566" t="s">
        <v>470</v>
      </c>
      <c r="G405" s="415"/>
      <c r="H405" s="415"/>
      <c r="I405" s="415"/>
      <c r="J405" s="415"/>
      <c r="K405" s="415"/>
      <c r="L405" s="415"/>
      <c r="M405" s="415"/>
      <c r="N405" s="415"/>
      <c r="O405" s="415"/>
      <c r="P405" s="1152"/>
    </row>
    <row r="406" spans="1:16" ht="42" customHeight="1">
      <c r="A406" s="488" t="s">
        <v>395</v>
      </c>
      <c r="B406" s="489" t="s">
        <v>392</v>
      </c>
      <c r="C406" s="489"/>
      <c r="D406" s="420"/>
      <c r="E406" s="674"/>
      <c r="F406" s="492" t="s">
        <v>709</v>
      </c>
      <c r="G406" s="422"/>
      <c r="H406" s="422"/>
      <c r="I406" s="422"/>
      <c r="J406" s="422"/>
      <c r="K406" s="422"/>
      <c r="L406" s="422"/>
      <c r="M406" s="422"/>
      <c r="N406" s="422"/>
      <c r="O406" s="422"/>
      <c r="P406" s="1153"/>
    </row>
    <row r="407" spans="1:16" ht="45" customHeight="1">
      <c r="A407" s="424"/>
      <c r="B407" s="425"/>
      <c r="C407" s="425"/>
      <c r="D407" s="420"/>
      <c r="E407" s="426">
        <v>610000</v>
      </c>
      <c r="F407" s="534" t="s">
        <v>529</v>
      </c>
      <c r="G407" s="422"/>
      <c r="H407" s="422"/>
      <c r="I407" s="422"/>
      <c r="J407" s="422"/>
      <c r="K407" s="422"/>
      <c r="L407" s="422"/>
      <c r="M407" s="422"/>
      <c r="N407" s="422"/>
      <c r="O407" s="422"/>
      <c r="P407" s="1153"/>
    </row>
    <row r="408" spans="1:16" ht="48" customHeight="1">
      <c r="A408" s="625" t="s">
        <v>395</v>
      </c>
      <c r="B408" s="595" t="s">
        <v>392</v>
      </c>
      <c r="C408" s="691" t="s">
        <v>391</v>
      </c>
      <c r="D408" s="889">
        <v>641</v>
      </c>
      <c r="E408" s="596">
        <v>613211</v>
      </c>
      <c r="F408" s="903" t="s">
        <v>669</v>
      </c>
      <c r="G408" s="1154">
        <v>1700000</v>
      </c>
      <c r="H408" s="1154"/>
      <c r="I408" s="1154"/>
      <c r="J408" s="1154">
        <f aca="true" t="shared" si="70" ref="J408:J429">G408+H408-I408</f>
        <v>1700000</v>
      </c>
      <c r="K408" s="1154">
        <v>0</v>
      </c>
      <c r="L408" s="1154"/>
      <c r="M408" s="1154"/>
      <c r="N408" s="1154">
        <f aca="true" t="shared" si="71" ref="N408:N429">K408+L408-M408</f>
        <v>0</v>
      </c>
      <c r="O408" s="1154">
        <f aca="true" t="shared" si="72" ref="O408:O429">G408+K408</f>
        <v>1700000</v>
      </c>
      <c r="P408" s="1155">
        <f aca="true" t="shared" si="73" ref="P408:P429">J408+N408</f>
        <v>1700000</v>
      </c>
    </row>
    <row r="409" spans="1:16" ht="37.5" customHeight="1">
      <c r="A409" s="625" t="s">
        <v>395</v>
      </c>
      <c r="B409" s="595" t="s">
        <v>392</v>
      </c>
      <c r="C409" s="691" t="s">
        <v>391</v>
      </c>
      <c r="D409" s="889">
        <v>662</v>
      </c>
      <c r="E409" s="596">
        <v>613211</v>
      </c>
      <c r="F409" s="902" t="s">
        <v>356</v>
      </c>
      <c r="G409" s="1154">
        <v>20000</v>
      </c>
      <c r="H409" s="1154"/>
      <c r="I409" s="1154"/>
      <c r="J409" s="1154">
        <f t="shared" si="70"/>
        <v>20000</v>
      </c>
      <c r="K409" s="1154">
        <v>0</v>
      </c>
      <c r="L409" s="1154"/>
      <c r="M409" s="1154"/>
      <c r="N409" s="1154">
        <f t="shared" si="71"/>
        <v>0</v>
      </c>
      <c r="O409" s="1154">
        <f t="shared" si="72"/>
        <v>20000</v>
      </c>
      <c r="P409" s="1155">
        <f t="shared" si="73"/>
        <v>20000</v>
      </c>
    </row>
    <row r="410" spans="1:16" ht="36" customHeight="1">
      <c r="A410" s="1311" t="s">
        <v>395</v>
      </c>
      <c r="B410" s="1312" t="s">
        <v>392</v>
      </c>
      <c r="C410" s="1336" t="s">
        <v>391</v>
      </c>
      <c r="D410" s="1352">
        <v>662</v>
      </c>
      <c r="E410" s="1353" t="s">
        <v>190</v>
      </c>
      <c r="F410" s="1383" t="s">
        <v>670</v>
      </c>
      <c r="G410" s="1315">
        <v>900000</v>
      </c>
      <c r="H410" s="1315"/>
      <c r="I410" s="1315">
        <v>500000</v>
      </c>
      <c r="J410" s="1315">
        <f t="shared" si="70"/>
        <v>400000</v>
      </c>
      <c r="K410" s="1315">
        <v>0</v>
      </c>
      <c r="L410" s="1315"/>
      <c r="M410" s="1315"/>
      <c r="N410" s="1315">
        <f t="shared" si="71"/>
        <v>0</v>
      </c>
      <c r="O410" s="1315">
        <f t="shared" si="72"/>
        <v>900000</v>
      </c>
      <c r="P410" s="1316">
        <f t="shared" si="73"/>
        <v>400000</v>
      </c>
    </row>
    <row r="411" spans="1:16" ht="36" customHeight="1">
      <c r="A411" s="1311" t="s">
        <v>395</v>
      </c>
      <c r="B411" s="1312" t="s">
        <v>392</v>
      </c>
      <c r="C411" s="1336" t="s">
        <v>391</v>
      </c>
      <c r="D411" s="1352">
        <v>662</v>
      </c>
      <c r="E411" s="1353" t="s">
        <v>191</v>
      </c>
      <c r="F411" s="1383" t="s">
        <v>672</v>
      </c>
      <c r="G411" s="1315">
        <v>800000</v>
      </c>
      <c r="H411" s="1315"/>
      <c r="I411" s="1315">
        <v>400000</v>
      </c>
      <c r="J411" s="1315">
        <f t="shared" si="70"/>
        <v>400000</v>
      </c>
      <c r="K411" s="1315">
        <v>0</v>
      </c>
      <c r="L411" s="1315"/>
      <c r="M411" s="1315"/>
      <c r="N411" s="1315">
        <f t="shared" si="71"/>
        <v>0</v>
      </c>
      <c r="O411" s="1315">
        <f t="shared" si="72"/>
        <v>800000</v>
      </c>
      <c r="P411" s="1316">
        <f t="shared" si="73"/>
        <v>400000</v>
      </c>
    </row>
    <row r="412" spans="1:16" ht="36" customHeight="1">
      <c r="A412" s="1311" t="s">
        <v>395</v>
      </c>
      <c r="B412" s="1312" t="s">
        <v>392</v>
      </c>
      <c r="C412" s="1336" t="s">
        <v>391</v>
      </c>
      <c r="D412" s="1352">
        <v>662</v>
      </c>
      <c r="E412" s="1353" t="s">
        <v>192</v>
      </c>
      <c r="F412" s="1383" t="s">
        <v>118</v>
      </c>
      <c r="G412" s="1315">
        <v>470000</v>
      </c>
      <c r="H412" s="1315"/>
      <c r="I412" s="1315">
        <v>180000</v>
      </c>
      <c r="J412" s="1315">
        <f t="shared" si="70"/>
        <v>290000</v>
      </c>
      <c r="K412" s="1315">
        <v>0</v>
      </c>
      <c r="L412" s="1315"/>
      <c r="M412" s="1315"/>
      <c r="N412" s="1315">
        <f t="shared" si="71"/>
        <v>0</v>
      </c>
      <c r="O412" s="1315">
        <f t="shared" si="72"/>
        <v>470000</v>
      </c>
      <c r="P412" s="1316">
        <f t="shared" si="73"/>
        <v>290000</v>
      </c>
    </row>
    <row r="413" spans="1:16" ht="36" customHeight="1">
      <c r="A413" s="625" t="s">
        <v>395</v>
      </c>
      <c r="B413" s="595" t="s">
        <v>392</v>
      </c>
      <c r="C413" s="691" t="s">
        <v>391</v>
      </c>
      <c r="D413" s="889">
        <v>662</v>
      </c>
      <c r="E413" s="930" t="s">
        <v>897</v>
      </c>
      <c r="F413" s="714" t="s">
        <v>898</v>
      </c>
      <c r="G413" s="1154">
        <v>40000</v>
      </c>
      <c r="H413" s="1154"/>
      <c r="I413" s="1154"/>
      <c r="J413" s="1154">
        <f t="shared" si="70"/>
        <v>40000</v>
      </c>
      <c r="K413" s="1154">
        <v>0</v>
      </c>
      <c r="L413" s="1154"/>
      <c r="M413" s="1154"/>
      <c r="N413" s="1154">
        <f t="shared" si="71"/>
        <v>0</v>
      </c>
      <c r="O413" s="1154">
        <f t="shared" si="72"/>
        <v>40000</v>
      </c>
      <c r="P413" s="1155">
        <f t="shared" si="73"/>
        <v>40000</v>
      </c>
    </row>
    <row r="414" spans="1:16" ht="49.5" customHeight="1">
      <c r="A414" s="570" t="s">
        <v>395</v>
      </c>
      <c r="B414" s="571" t="s">
        <v>392</v>
      </c>
      <c r="C414" s="572" t="s">
        <v>391</v>
      </c>
      <c r="D414" s="904">
        <v>662</v>
      </c>
      <c r="E414" s="890">
        <v>613327</v>
      </c>
      <c r="F414" s="569" t="s">
        <v>678</v>
      </c>
      <c r="G414" s="1154">
        <v>10000</v>
      </c>
      <c r="H414" s="1154"/>
      <c r="I414" s="1154"/>
      <c r="J414" s="1154">
        <f t="shared" si="70"/>
        <v>10000</v>
      </c>
      <c r="K414" s="1156">
        <v>0</v>
      </c>
      <c r="L414" s="1156"/>
      <c r="M414" s="1156"/>
      <c r="N414" s="1154">
        <f t="shared" si="71"/>
        <v>0</v>
      </c>
      <c r="O414" s="1154">
        <f t="shared" si="72"/>
        <v>10000</v>
      </c>
      <c r="P414" s="1155">
        <f t="shared" si="73"/>
        <v>10000</v>
      </c>
    </row>
    <row r="415" spans="1:16" ht="36" customHeight="1">
      <c r="A415" s="570" t="s">
        <v>395</v>
      </c>
      <c r="B415" s="571" t="s">
        <v>392</v>
      </c>
      <c r="C415" s="572" t="s">
        <v>391</v>
      </c>
      <c r="D415" s="889">
        <v>662</v>
      </c>
      <c r="E415" s="596" t="s">
        <v>339</v>
      </c>
      <c r="F415" s="902" t="s">
        <v>353</v>
      </c>
      <c r="G415" s="1154">
        <v>20000</v>
      </c>
      <c r="H415" s="1154"/>
      <c r="I415" s="1154"/>
      <c r="J415" s="1154">
        <f t="shared" si="70"/>
        <v>20000</v>
      </c>
      <c r="K415" s="1156">
        <v>0</v>
      </c>
      <c r="L415" s="1156"/>
      <c r="M415" s="1156"/>
      <c r="N415" s="1154">
        <f t="shared" si="71"/>
        <v>0</v>
      </c>
      <c r="O415" s="1154">
        <f t="shared" si="72"/>
        <v>20000</v>
      </c>
      <c r="P415" s="1155">
        <f t="shared" si="73"/>
        <v>20000</v>
      </c>
    </row>
    <row r="416" spans="1:16" ht="36" customHeight="1">
      <c r="A416" s="1311" t="s">
        <v>395</v>
      </c>
      <c r="B416" s="1312" t="s">
        <v>392</v>
      </c>
      <c r="C416" s="1336" t="s">
        <v>391</v>
      </c>
      <c r="D416" s="1352">
        <v>662</v>
      </c>
      <c r="E416" s="1353" t="s">
        <v>193</v>
      </c>
      <c r="F416" s="1383" t="s">
        <v>676</v>
      </c>
      <c r="G416" s="1315">
        <v>2268113</v>
      </c>
      <c r="H416" s="1315"/>
      <c r="I416" s="1315">
        <v>930000</v>
      </c>
      <c r="J416" s="1315">
        <f t="shared" si="70"/>
        <v>1338113</v>
      </c>
      <c r="K416" s="1315">
        <v>0</v>
      </c>
      <c r="L416" s="1315"/>
      <c r="M416" s="1315"/>
      <c r="N416" s="1315">
        <f t="shared" si="71"/>
        <v>0</v>
      </c>
      <c r="O416" s="1315">
        <f t="shared" si="72"/>
        <v>2268113</v>
      </c>
      <c r="P416" s="1316">
        <f t="shared" si="73"/>
        <v>1338113</v>
      </c>
    </row>
    <row r="417" spans="1:16" ht="36" customHeight="1">
      <c r="A417" s="625" t="s">
        <v>395</v>
      </c>
      <c r="B417" s="595" t="s">
        <v>392</v>
      </c>
      <c r="C417" s="691" t="s">
        <v>391</v>
      </c>
      <c r="D417" s="889">
        <v>662</v>
      </c>
      <c r="E417" s="930" t="s">
        <v>194</v>
      </c>
      <c r="F417" s="714" t="s">
        <v>196</v>
      </c>
      <c r="G417" s="1154">
        <v>50000</v>
      </c>
      <c r="H417" s="1154"/>
      <c r="I417" s="1154"/>
      <c r="J417" s="1154">
        <f t="shared" si="70"/>
        <v>50000</v>
      </c>
      <c r="K417" s="1154">
        <v>0</v>
      </c>
      <c r="L417" s="1154"/>
      <c r="M417" s="1154"/>
      <c r="N417" s="1154">
        <f t="shared" si="71"/>
        <v>0</v>
      </c>
      <c r="O417" s="1154">
        <f t="shared" si="72"/>
        <v>50000</v>
      </c>
      <c r="P417" s="1155">
        <f t="shared" si="73"/>
        <v>50000</v>
      </c>
    </row>
    <row r="418" spans="1:16" ht="48" customHeight="1">
      <c r="A418" s="570" t="s">
        <v>395</v>
      </c>
      <c r="B418" s="571" t="s">
        <v>392</v>
      </c>
      <c r="C418" s="572" t="s">
        <v>391</v>
      </c>
      <c r="D418" s="889">
        <v>662</v>
      </c>
      <c r="E418" s="890" t="s">
        <v>284</v>
      </c>
      <c r="F418" s="569" t="s">
        <v>357</v>
      </c>
      <c r="G418" s="1154">
        <v>110000</v>
      </c>
      <c r="H418" s="1154"/>
      <c r="I418" s="1154"/>
      <c r="J418" s="1154">
        <f t="shared" si="70"/>
        <v>110000</v>
      </c>
      <c r="K418" s="1154">
        <v>0</v>
      </c>
      <c r="L418" s="1154"/>
      <c r="M418" s="1154"/>
      <c r="N418" s="1154">
        <f t="shared" si="71"/>
        <v>0</v>
      </c>
      <c r="O418" s="1154">
        <f t="shared" si="72"/>
        <v>110000</v>
      </c>
      <c r="P418" s="1155">
        <f t="shared" si="73"/>
        <v>110000</v>
      </c>
    </row>
    <row r="419" spans="1:16" ht="36" customHeight="1">
      <c r="A419" s="625" t="s">
        <v>395</v>
      </c>
      <c r="B419" s="595" t="s">
        <v>392</v>
      </c>
      <c r="C419" s="691" t="s">
        <v>391</v>
      </c>
      <c r="D419" s="889">
        <v>662</v>
      </c>
      <c r="E419" s="930" t="s">
        <v>285</v>
      </c>
      <c r="F419" s="714" t="s">
        <v>674</v>
      </c>
      <c r="G419" s="1154">
        <v>50000</v>
      </c>
      <c r="H419" s="1154"/>
      <c r="I419" s="1154"/>
      <c r="J419" s="1154">
        <f t="shared" si="70"/>
        <v>50000</v>
      </c>
      <c r="K419" s="1154">
        <v>0</v>
      </c>
      <c r="L419" s="1154"/>
      <c r="M419" s="1154"/>
      <c r="N419" s="1154">
        <f t="shared" si="71"/>
        <v>0</v>
      </c>
      <c r="O419" s="1154">
        <f t="shared" si="72"/>
        <v>50000</v>
      </c>
      <c r="P419" s="1155">
        <f t="shared" si="73"/>
        <v>50000</v>
      </c>
    </row>
    <row r="420" spans="1:16" ht="36" customHeight="1">
      <c r="A420" s="1311" t="s">
        <v>395</v>
      </c>
      <c r="B420" s="1312" t="s">
        <v>392</v>
      </c>
      <c r="C420" s="1336" t="s">
        <v>391</v>
      </c>
      <c r="D420" s="1352">
        <v>662</v>
      </c>
      <c r="E420" s="1353" t="s">
        <v>195</v>
      </c>
      <c r="F420" s="1383" t="s">
        <v>821</v>
      </c>
      <c r="G420" s="1315">
        <v>210000</v>
      </c>
      <c r="H420" s="1315"/>
      <c r="I420" s="1315">
        <v>120000</v>
      </c>
      <c r="J420" s="1315">
        <f t="shared" si="70"/>
        <v>90000</v>
      </c>
      <c r="K420" s="1315">
        <v>0</v>
      </c>
      <c r="L420" s="1315"/>
      <c r="M420" s="1315"/>
      <c r="N420" s="1315">
        <f t="shared" si="71"/>
        <v>0</v>
      </c>
      <c r="O420" s="1315">
        <f t="shared" si="72"/>
        <v>210000</v>
      </c>
      <c r="P420" s="1316">
        <f t="shared" si="73"/>
        <v>90000</v>
      </c>
    </row>
    <row r="421" spans="1:16" ht="36" customHeight="1">
      <c r="A421" s="625" t="s">
        <v>395</v>
      </c>
      <c r="B421" s="595" t="s">
        <v>392</v>
      </c>
      <c r="C421" s="691" t="s">
        <v>391</v>
      </c>
      <c r="D421" s="889">
        <v>662</v>
      </c>
      <c r="E421" s="596" t="s">
        <v>197</v>
      </c>
      <c r="F421" s="714" t="s">
        <v>673</v>
      </c>
      <c r="G421" s="1154">
        <v>300000</v>
      </c>
      <c r="H421" s="1154"/>
      <c r="I421" s="1154"/>
      <c r="J421" s="1154">
        <f t="shared" si="70"/>
        <v>300000</v>
      </c>
      <c r="K421" s="1154">
        <v>0</v>
      </c>
      <c r="L421" s="1154"/>
      <c r="M421" s="1154"/>
      <c r="N421" s="1154">
        <f t="shared" si="71"/>
        <v>0</v>
      </c>
      <c r="O421" s="1154">
        <f t="shared" si="72"/>
        <v>300000</v>
      </c>
      <c r="P421" s="1155">
        <f t="shared" si="73"/>
        <v>300000</v>
      </c>
    </row>
    <row r="422" spans="1:16" ht="36" customHeight="1">
      <c r="A422" s="1311" t="s">
        <v>395</v>
      </c>
      <c r="B422" s="1312" t="s">
        <v>392</v>
      </c>
      <c r="C422" s="1336" t="s">
        <v>391</v>
      </c>
      <c r="D422" s="1352">
        <v>641</v>
      </c>
      <c r="E422" s="1313">
        <v>613726</v>
      </c>
      <c r="F422" s="1383" t="s">
        <v>675</v>
      </c>
      <c r="G422" s="1315">
        <v>600000</v>
      </c>
      <c r="H422" s="1315"/>
      <c r="I422" s="1315">
        <v>400000</v>
      </c>
      <c r="J422" s="1315">
        <f t="shared" si="70"/>
        <v>200000</v>
      </c>
      <c r="K422" s="1315">
        <v>0</v>
      </c>
      <c r="L422" s="1315"/>
      <c r="M422" s="1315"/>
      <c r="N422" s="1315">
        <f t="shared" si="71"/>
        <v>0</v>
      </c>
      <c r="O422" s="1315">
        <f t="shared" si="72"/>
        <v>600000</v>
      </c>
      <c r="P422" s="1316">
        <f t="shared" si="73"/>
        <v>200000</v>
      </c>
    </row>
    <row r="423" spans="1:16" ht="36" customHeight="1">
      <c r="A423" s="625" t="s">
        <v>395</v>
      </c>
      <c r="B423" s="595" t="s">
        <v>392</v>
      </c>
      <c r="C423" s="691" t="s">
        <v>391</v>
      </c>
      <c r="D423" s="889">
        <v>662</v>
      </c>
      <c r="E423" s="596" t="s">
        <v>198</v>
      </c>
      <c r="F423" s="465" t="s">
        <v>716</v>
      </c>
      <c r="G423" s="1154">
        <v>50000</v>
      </c>
      <c r="H423" s="1154"/>
      <c r="I423" s="1154"/>
      <c r="J423" s="1154">
        <f t="shared" si="70"/>
        <v>50000</v>
      </c>
      <c r="K423" s="1154">
        <v>0</v>
      </c>
      <c r="L423" s="1154"/>
      <c r="M423" s="1154"/>
      <c r="N423" s="1154">
        <f t="shared" si="71"/>
        <v>0</v>
      </c>
      <c r="O423" s="1154">
        <f t="shared" si="72"/>
        <v>50000</v>
      </c>
      <c r="P423" s="1155">
        <f t="shared" si="73"/>
        <v>50000</v>
      </c>
    </row>
    <row r="424" spans="1:16" ht="36" customHeight="1">
      <c r="A424" s="625" t="s">
        <v>395</v>
      </c>
      <c r="B424" s="595" t="s">
        <v>392</v>
      </c>
      <c r="C424" s="691" t="s">
        <v>391</v>
      </c>
      <c r="D424" s="889">
        <v>662</v>
      </c>
      <c r="E424" s="596" t="s">
        <v>963</v>
      </c>
      <c r="F424" s="902" t="s">
        <v>956</v>
      </c>
      <c r="G424" s="1154">
        <v>40000</v>
      </c>
      <c r="H424" s="1154"/>
      <c r="I424" s="1154"/>
      <c r="J424" s="1154">
        <f t="shared" si="70"/>
        <v>40000</v>
      </c>
      <c r="K424" s="1154">
        <v>0</v>
      </c>
      <c r="L424" s="1154"/>
      <c r="M424" s="1154"/>
      <c r="N424" s="1154">
        <f t="shared" si="71"/>
        <v>0</v>
      </c>
      <c r="O424" s="1154">
        <f t="shared" si="72"/>
        <v>40000</v>
      </c>
      <c r="P424" s="1155">
        <f t="shared" si="73"/>
        <v>40000</v>
      </c>
    </row>
    <row r="425" spans="1:16" ht="48" customHeight="1">
      <c r="A425" s="625" t="s">
        <v>395</v>
      </c>
      <c r="B425" s="595" t="s">
        <v>392</v>
      </c>
      <c r="C425" s="691" t="s">
        <v>391</v>
      </c>
      <c r="D425" s="904">
        <v>662</v>
      </c>
      <c r="E425" s="590" t="s">
        <v>77</v>
      </c>
      <c r="F425" s="591" t="s">
        <v>78</v>
      </c>
      <c r="G425" s="1154">
        <v>17000</v>
      </c>
      <c r="H425" s="1154"/>
      <c r="I425" s="1154"/>
      <c r="J425" s="1154">
        <f t="shared" si="70"/>
        <v>17000</v>
      </c>
      <c r="K425" s="1154">
        <v>0</v>
      </c>
      <c r="L425" s="1154"/>
      <c r="M425" s="1154"/>
      <c r="N425" s="1154">
        <f t="shared" si="71"/>
        <v>0</v>
      </c>
      <c r="O425" s="1154">
        <f t="shared" si="72"/>
        <v>17000</v>
      </c>
      <c r="P425" s="1155">
        <f t="shared" si="73"/>
        <v>17000</v>
      </c>
    </row>
    <row r="426" spans="1:16" ht="36" customHeight="1">
      <c r="A426" s="625" t="s">
        <v>395</v>
      </c>
      <c r="B426" s="595" t="s">
        <v>392</v>
      </c>
      <c r="C426" s="691" t="s">
        <v>391</v>
      </c>
      <c r="D426" s="889">
        <v>1091</v>
      </c>
      <c r="E426" s="596" t="s">
        <v>1086</v>
      </c>
      <c r="F426" s="714" t="s">
        <v>1087</v>
      </c>
      <c r="G426" s="1154">
        <v>200000</v>
      </c>
      <c r="H426" s="1154"/>
      <c r="I426" s="1154"/>
      <c r="J426" s="1154">
        <f t="shared" si="70"/>
        <v>200000</v>
      </c>
      <c r="K426" s="1154">
        <v>0</v>
      </c>
      <c r="L426" s="1154"/>
      <c r="M426" s="1154"/>
      <c r="N426" s="1154">
        <f t="shared" si="71"/>
        <v>0</v>
      </c>
      <c r="O426" s="1154">
        <f t="shared" si="72"/>
        <v>200000</v>
      </c>
      <c r="P426" s="1155">
        <f t="shared" si="73"/>
        <v>200000</v>
      </c>
    </row>
    <row r="427" spans="1:16" ht="36" customHeight="1">
      <c r="A427" s="625" t="s">
        <v>395</v>
      </c>
      <c r="B427" s="595" t="s">
        <v>392</v>
      </c>
      <c r="C427" s="691" t="s">
        <v>391</v>
      </c>
      <c r="D427" s="889">
        <v>662</v>
      </c>
      <c r="E427" s="930" t="s">
        <v>920</v>
      </c>
      <c r="F427" s="714" t="s">
        <v>919</v>
      </c>
      <c r="G427" s="1154">
        <v>0</v>
      </c>
      <c r="H427" s="1154"/>
      <c r="I427" s="1154"/>
      <c r="J427" s="1154">
        <f t="shared" si="70"/>
        <v>0</v>
      </c>
      <c r="K427" s="1154">
        <v>0</v>
      </c>
      <c r="L427" s="1154"/>
      <c r="M427" s="1154"/>
      <c r="N427" s="1154">
        <f t="shared" si="71"/>
        <v>0</v>
      </c>
      <c r="O427" s="1154">
        <f t="shared" si="72"/>
        <v>0</v>
      </c>
      <c r="P427" s="1155">
        <f t="shared" si="73"/>
        <v>0</v>
      </c>
    </row>
    <row r="428" spans="1:16" ht="36" customHeight="1">
      <c r="A428" s="881"/>
      <c r="B428" s="882"/>
      <c r="C428" s="914"/>
      <c r="D428" s="915">
        <v>662</v>
      </c>
      <c r="E428" s="910" t="s">
        <v>983</v>
      </c>
      <c r="F428" s="911" t="s">
        <v>984</v>
      </c>
      <c r="G428" s="1154">
        <v>0</v>
      </c>
      <c r="H428" s="1154"/>
      <c r="I428" s="1154"/>
      <c r="J428" s="1154">
        <f t="shared" si="70"/>
        <v>0</v>
      </c>
      <c r="K428" s="1154">
        <v>0</v>
      </c>
      <c r="L428" s="1154"/>
      <c r="M428" s="1154"/>
      <c r="N428" s="1154">
        <f t="shared" si="71"/>
        <v>0</v>
      </c>
      <c r="O428" s="1154">
        <f t="shared" si="72"/>
        <v>0</v>
      </c>
      <c r="P428" s="1155">
        <f t="shared" si="73"/>
        <v>0</v>
      </c>
    </row>
    <row r="429" spans="1:16" ht="36" customHeight="1">
      <c r="A429" s="625" t="s">
        <v>395</v>
      </c>
      <c r="B429" s="595" t="s">
        <v>392</v>
      </c>
      <c r="C429" s="691" t="s">
        <v>391</v>
      </c>
      <c r="D429" s="916">
        <v>171</v>
      </c>
      <c r="E429" s="890">
        <v>616331</v>
      </c>
      <c r="F429" s="569" t="s">
        <v>112</v>
      </c>
      <c r="G429" s="1154">
        <v>317000</v>
      </c>
      <c r="H429" s="1154"/>
      <c r="I429" s="1154"/>
      <c r="J429" s="1154">
        <f t="shared" si="70"/>
        <v>317000</v>
      </c>
      <c r="K429" s="1154">
        <v>0</v>
      </c>
      <c r="L429" s="1154"/>
      <c r="M429" s="1154"/>
      <c r="N429" s="1154">
        <f t="shared" si="71"/>
        <v>0</v>
      </c>
      <c r="O429" s="1154">
        <f t="shared" si="72"/>
        <v>317000</v>
      </c>
      <c r="P429" s="1155">
        <f t="shared" si="73"/>
        <v>317000</v>
      </c>
    </row>
    <row r="430" spans="1:16" ht="40.5" customHeight="1">
      <c r="A430" s="937"/>
      <c r="B430" s="938"/>
      <c r="C430" s="939"/>
      <c r="D430" s="618"/>
      <c r="E430" s="891"/>
      <c r="F430" s="891" t="s">
        <v>679</v>
      </c>
      <c r="G430" s="1163">
        <f aca="true" t="shared" si="74" ref="G430:P430">SUM(G408:G429)</f>
        <v>8172113</v>
      </c>
      <c r="H430" s="1163">
        <f t="shared" si="74"/>
        <v>0</v>
      </c>
      <c r="I430" s="1163">
        <f t="shared" si="74"/>
        <v>2530000</v>
      </c>
      <c r="J430" s="1163">
        <f t="shared" si="74"/>
        <v>5642113</v>
      </c>
      <c r="K430" s="1163">
        <f t="shared" si="74"/>
        <v>0</v>
      </c>
      <c r="L430" s="1163">
        <f t="shared" si="74"/>
        <v>0</v>
      </c>
      <c r="M430" s="1163">
        <f t="shared" si="74"/>
        <v>0</v>
      </c>
      <c r="N430" s="1163">
        <f t="shared" si="74"/>
        <v>0</v>
      </c>
      <c r="O430" s="1164">
        <f t="shared" si="74"/>
        <v>8172113</v>
      </c>
      <c r="P430" s="1165">
        <f t="shared" si="74"/>
        <v>5642113</v>
      </c>
    </row>
    <row r="431" spans="1:16" ht="40.5" customHeight="1">
      <c r="A431" s="892"/>
      <c r="B431" s="893"/>
      <c r="C431" s="893"/>
      <c r="D431" s="614"/>
      <c r="E431" s="623">
        <v>820000</v>
      </c>
      <c r="F431" s="894" t="s">
        <v>654</v>
      </c>
      <c r="G431" s="1183"/>
      <c r="H431" s="1183"/>
      <c r="I431" s="1183"/>
      <c r="J431" s="1183"/>
      <c r="K431" s="1183"/>
      <c r="L431" s="1184"/>
      <c r="M431" s="1184"/>
      <c r="N431" s="1184"/>
      <c r="O431" s="1184"/>
      <c r="P431" s="1185"/>
    </row>
    <row r="432" spans="1:16" ht="40.5" customHeight="1">
      <c r="A432" s="625" t="s">
        <v>395</v>
      </c>
      <c r="B432" s="595" t="s">
        <v>392</v>
      </c>
      <c r="C432" s="691" t="s">
        <v>391</v>
      </c>
      <c r="D432" s="895">
        <v>641</v>
      </c>
      <c r="E432" s="883" t="s">
        <v>475</v>
      </c>
      <c r="F432" s="896" t="s">
        <v>354</v>
      </c>
      <c r="G432" s="1154">
        <v>0</v>
      </c>
      <c r="H432" s="1154"/>
      <c r="I432" s="1154"/>
      <c r="J432" s="1154">
        <f>G432+H432-I432</f>
        <v>0</v>
      </c>
      <c r="K432" s="1154">
        <v>0</v>
      </c>
      <c r="L432" s="1154"/>
      <c r="M432" s="1154"/>
      <c r="N432" s="1154">
        <f>K432+L432-M432</f>
        <v>0</v>
      </c>
      <c r="O432" s="1154">
        <f>G432+K432</f>
        <v>0</v>
      </c>
      <c r="P432" s="1155">
        <f>J432+N432</f>
        <v>0</v>
      </c>
    </row>
    <row r="433" spans="1:16" ht="40.5" customHeight="1">
      <c r="A433" s="1311" t="s">
        <v>395</v>
      </c>
      <c r="B433" s="1312" t="s">
        <v>392</v>
      </c>
      <c r="C433" s="1336" t="s">
        <v>391</v>
      </c>
      <c r="D433" s="1337">
        <v>662</v>
      </c>
      <c r="E433" s="1317" t="s">
        <v>476</v>
      </c>
      <c r="F433" s="1383" t="s">
        <v>477</v>
      </c>
      <c r="G433" s="1315">
        <v>908554.36</v>
      </c>
      <c r="H433" s="1315"/>
      <c r="I433" s="1315">
        <v>770000</v>
      </c>
      <c r="J433" s="1315">
        <f>G433+H433-I433</f>
        <v>138554.36</v>
      </c>
      <c r="K433" s="1315">
        <v>0</v>
      </c>
      <c r="L433" s="1315"/>
      <c r="M433" s="1315"/>
      <c r="N433" s="1315">
        <f>K433+L433-M433</f>
        <v>0</v>
      </c>
      <c r="O433" s="1315">
        <f>G433+K433</f>
        <v>908554.36</v>
      </c>
      <c r="P433" s="1316">
        <f>J433+N433</f>
        <v>138554.36</v>
      </c>
    </row>
    <row r="434" spans="1:16" ht="40.5" customHeight="1">
      <c r="A434" s="625" t="s">
        <v>395</v>
      </c>
      <c r="B434" s="595" t="s">
        <v>392</v>
      </c>
      <c r="C434" s="691" t="s">
        <v>391</v>
      </c>
      <c r="D434" s="888">
        <v>662</v>
      </c>
      <c r="E434" s="692" t="s">
        <v>61</v>
      </c>
      <c r="F434" s="578" t="s">
        <v>820</v>
      </c>
      <c r="G434" s="1154">
        <v>0</v>
      </c>
      <c r="H434" s="1154"/>
      <c r="I434" s="1154"/>
      <c r="J434" s="1154">
        <f>G434+H434-I434</f>
        <v>0</v>
      </c>
      <c r="K434" s="1154">
        <v>0</v>
      </c>
      <c r="L434" s="1154"/>
      <c r="M434" s="1154"/>
      <c r="N434" s="1154">
        <f>K434+L434-M434</f>
        <v>0</v>
      </c>
      <c r="O434" s="1154">
        <f>G434+K434</f>
        <v>0</v>
      </c>
      <c r="P434" s="1155">
        <f>J434+N434</f>
        <v>0</v>
      </c>
    </row>
    <row r="435" spans="1:16" ht="40.5" customHeight="1">
      <c r="A435" s="897"/>
      <c r="B435" s="898"/>
      <c r="C435" s="898"/>
      <c r="D435" s="899"/>
      <c r="E435" s="900"/>
      <c r="F435" s="901" t="s">
        <v>914</v>
      </c>
      <c r="G435" s="1206">
        <f aca="true" t="shared" si="75" ref="G435:P435">SUM(G432:G434)</f>
        <v>908554.36</v>
      </c>
      <c r="H435" s="1206">
        <f t="shared" si="75"/>
        <v>0</v>
      </c>
      <c r="I435" s="1206">
        <f t="shared" si="75"/>
        <v>770000</v>
      </c>
      <c r="J435" s="1206">
        <f t="shared" si="75"/>
        <v>138554.36</v>
      </c>
      <c r="K435" s="1206">
        <f t="shared" si="75"/>
        <v>0</v>
      </c>
      <c r="L435" s="1206">
        <f t="shared" si="75"/>
        <v>0</v>
      </c>
      <c r="M435" s="1206">
        <f t="shared" si="75"/>
        <v>0</v>
      </c>
      <c r="N435" s="1206">
        <f t="shared" si="75"/>
        <v>0</v>
      </c>
      <c r="O435" s="1207">
        <f t="shared" si="75"/>
        <v>908554.36</v>
      </c>
      <c r="P435" s="1208">
        <f t="shared" si="75"/>
        <v>138554.36</v>
      </c>
    </row>
    <row r="436" spans="1:16" ht="40.5" customHeight="1">
      <c r="A436" s="892"/>
      <c r="B436" s="893"/>
      <c r="C436" s="893"/>
      <c r="D436" s="614"/>
      <c r="E436" s="913"/>
      <c r="F436" s="1073" t="s">
        <v>809</v>
      </c>
      <c r="G436" s="1209"/>
      <c r="H436" s="1209"/>
      <c r="I436" s="1209"/>
      <c r="J436" s="1209"/>
      <c r="K436" s="1209"/>
      <c r="L436" s="1209"/>
      <c r="M436" s="1209"/>
      <c r="N436" s="1209"/>
      <c r="O436" s="1209"/>
      <c r="P436" s="1210"/>
    </row>
    <row r="437" spans="1:16" ht="40.5" customHeight="1">
      <c r="A437" s="625" t="s">
        <v>395</v>
      </c>
      <c r="B437" s="595" t="s">
        <v>392</v>
      </c>
      <c r="C437" s="691" t="s">
        <v>391</v>
      </c>
      <c r="D437" s="895">
        <v>171</v>
      </c>
      <c r="E437" s="1074">
        <v>823331</v>
      </c>
      <c r="F437" s="1007" t="s">
        <v>808</v>
      </c>
      <c r="G437" s="1154">
        <v>0</v>
      </c>
      <c r="H437" s="1154"/>
      <c r="I437" s="1154"/>
      <c r="J437" s="1154">
        <f>G437+H437-I437</f>
        <v>0</v>
      </c>
      <c r="K437" s="1154">
        <v>0</v>
      </c>
      <c r="L437" s="1154"/>
      <c r="M437" s="1154"/>
      <c r="N437" s="1154">
        <f>K437+L437-M437</f>
        <v>0</v>
      </c>
      <c r="O437" s="1154">
        <f>G437+K437</f>
        <v>0</v>
      </c>
      <c r="P437" s="1155">
        <f>J437+N437</f>
        <v>0</v>
      </c>
    </row>
    <row r="438" spans="1:16" ht="40.5" customHeight="1">
      <c r="A438" s="897"/>
      <c r="B438" s="898"/>
      <c r="C438" s="898"/>
      <c r="D438" s="868"/>
      <c r="E438" s="908"/>
      <c r="F438" s="1045" t="s">
        <v>816</v>
      </c>
      <c r="G438" s="955">
        <f aca="true" t="shared" si="76" ref="G438:P438">SUM(G437)</f>
        <v>0</v>
      </c>
      <c r="H438" s="955">
        <f t="shared" si="76"/>
        <v>0</v>
      </c>
      <c r="I438" s="955">
        <f t="shared" si="76"/>
        <v>0</v>
      </c>
      <c r="J438" s="955">
        <f t="shared" si="76"/>
        <v>0</v>
      </c>
      <c r="K438" s="955">
        <f t="shared" si="76"/>
        <v>0</v>
      </c>
      <c r="L438" s="955">
        <f t="shared" si="76"/>
        <v>0</v>
      </c>
      <c r="M438" s="955">
        <f t="shared" si="76"/>
        <v>0</v>
      </c>
      <c r="N438" s="955">
        <f t="shared" si="76"/>
        <v>0</v>
      </c>
      <c r="O438" s="1211">
        <f t="shared" si="76"/>
        <v>0</v>
      </c>
      <c r="P438" s="1212">
        <f t="shared" si="76"/>
        <v>0</v>
      </c>
    </row>
    <row r="439" spans="1:16" ht="47.25" customHeight="1" thickBot="1">
      <c r="A439" s="1075"/>
      <c r="B439" s="1076"/>
      <c r="C439" s="1077"/>
      <c r="D439" s="643"/>
      <c r="E439" s="1078"/>
      <c r="F439" s="1079" t="s">
        <v>180</v>
      </c>
      <c r="G439" s="1166">
        <f aca="true" t="shared" si="77" ref="G439:P439">SUM(G430,G435,G438,)</f>
        <v>9080667.36</v>
      </c>
      <c r="H439" s="1166">
        <f t="shared" si="77"/>
        <v>0</v>
      </c>
      <c r="I439" s="1166">
        <f t="shared" si="77"/>
        <v>3300000</v>
      </c>
      <c r="J439" s="1166">
        <f t="shared" si="77"/>
        <v>5780667.36</v>
      </c>
      <c r="K439" s="1166">
        <f t="shared" si="77"/>
        <v>0</v>
      </c>
      <c r="L439" s="1166">
        <f t="shared" si="77"/>
        <v>0</v>
      </c>
      <c r="M439" s="1166">
        <f t="shared" si="77"/>
        <v>0</v>
      </c>
      <c r="N439" s="1166">
        <f t="shared" si="77"/>
        <v>0</v>
      </c>
      <c r="O439" s="1167">
        <f t="shared" si="77"/>
        <v>9080667.36</v>
      </c>
      <c r="P439" s="1168">
        <f t="shared" si="77"/>
        <v>5780667.36</v>
      </c>
    </row>
    <row r="440" spans="1:16" ht="276" customHeight="1">
      <c r="A440" s="401" t="s">
        <v>494</v>
      </c>
      <c r="B440" s="402" t="s">
        <v>495</v>
      </c>
      <c r="C440" s="403" t="s">
        <v>687</v>
      </c>
      <c r="D440" s="404" t="s">
        <v>497</v>
      </c>
      <c r="E440" s="404" t="s">
        <v>188</v>
      </c>
      <c r="F440" s="405" t="s">
        <v>496</v>
      </c>
      <c r="G440" s="813" t="s">
        <v>1322</v>
      </c>
      <c r="H440" s="813" t="s">
        <v>1324</v>
      </c>
      <c r="I440" s="813" t="s">
        <v>1325</v>
      </c>
      <c r="J440" s="813" t="s">
        <v>1326</v>
      </c>
      <c r="K440" s="813" t="s">
        <v>1323</v>
      </c>
      <c r="L440" s="813" t="s">
        <v>1327</v>
      </c>
      <c r="M440" s="813" t="s">
        <v>1328</v>
      </c>
      <c r="N440" s="813" t="s">
        <v>1329</v>
      </c>
      <c r="O440" s="1278" t="s">
        <v>1321</v>
      </c>
      <c r="P440" s="1149" t="s">
        <v>1330</v>
      </c>
    </row>
    <row r="441" spans="1:16" ht="18" customHeight="1">
      <c r="A441" s="407">
        <v>0</v>
      </c>
      <c r="B441" s="408"/>
      <c r="C441" s="408"/>
      <c r="D441" s="409">
        <v>1</v>
      </c>
      <c r="E441" s="409">
        <v>2</v>
      </c>
      <c r="F441" s="410">
        <v>3</v>
      </c>
      <c r="G441" s="1150">
        <v>4</v>
      </c>
      <c r="H441" s="1150">
        <v>5</v>
      </c>
      <c r="I441" s="1150">
        <v>6</v>
      </c>
      <c r="J441" s="1150">
        <v>7</v>
      </c>
      <c r="K441" s="1150">
        <v>8</v>
      </c>
      <c r="L441" s="1150">
        <v>9</v>
      </c>
      <c r="M441" s="1150">
        <v>10</v>
      </c>
      <c r="N441" s="1150">
        <v>11</v>
      </c>
      <c r="O441" s="1151">
        <v>12</v>
      </c>
      <c r="P441" s="1151">
        <v>13</v>
      </c>
    </row>
    <row r="442" spans="1:16" ht="60.75" customHeight="1">
      <c r="A442" s="483" t="s">
        <v>395</v>
      </c>
      <c r="B442" s="484"/>
      <c r="C442" s="484"/>
      <c r="D442" s="413"/>
      <c r="E442" s="676"/>
      <c r="F442" s="669" t="s">
        <v>471</v>
      </c>
      <c r="G442" s="415"/>
      <c r="H442" s="415"/>
      <c r="I442" s="415"/>
      <c r="J442" s="415"/>
      <c r="K442" s="415"/>
      <c r="L442" s="415"/>
      <c r="M442" s="415"/>
      <c r="N442" s="415"/>
      <c r="O442" s="415"/>
      <c r="P442" s="415"/>
    </row>
    <row r="443" spans="1:16" ht="35.25" customHeight="1">
      <c r="A443" s="488" t="s">
        <v>395</v>
      </c>
      <c r="B443" s="489" t="s">
        <v>393</v>
      </c>
      <c r="C443" s="489"/>
      <c r="D443" s="420"/>
      <c r="E443" s="600"/>
      <c r="F443" s="677" t="s">
        <v>1102</v>
      </c>
      <c r="G443" s="422"/>
      <c r="H443" s="422"/>
      <c r="I443" s="422"/>
      <c r="J443" s="422"/>
      <c r="K443" s="422"/>
      <c r="L443" s="422"/>
      <c r="M443" s="422"/>
      <c r="N443" s="422"/>
      <c r="O443" s="422"/>
      <c r="P443" s="422"/>
    </row>
    <row r="444" spans="1:16" ht="10.5" customHeight="1">
      <c r="A444" s="424"/>
      <c r="B444" s="425"/>
      <c r="C444" s="425"/>
      <c r="D444" s="420"/>
      <c r="E444" s="600"/>
      <c r="F444" s="677"/>
      <c r="G444" s="422"/>
      <c r="H444" s="422"/>
      <c r="I444" s="422"/>
      <c r="J444" s="422"/>
      <c r="K444" s="422"/>
      <c r="L444" s="422"/>
      <c r="M444" s="422"/>
      <c r="N444" s="422"/>
      <c r="O444" s="422"/>
      <c r="P444" s="422"/>
    </row>
    <row r="445" spans="1:16" ht="41.25" customHeight="1">
      <c r="A445" s="424"/>
      <c r="B445" s="425"/>
      <c r="C445" s="425"/>
      <c r="D445" s="420"/>
      <c r="E445" s="426">
        <v>610000</v>
      </c>
      <c r="F445" s="427" t="s">
        <v>715</v>
      </c>
      <c r="G445" s="422"/>
      <c r="H445" s="422"/>
      <c r="I445" s="422"/>
      <c r="J445" s="422"/>
      <c r="K445" s="422"/>
      <c r="L445" s="422"/>
      <c r="M445" s="422"/>
      <c r="N445" s="422"/>
      <c r="O445" s="422"/>
      <c r="P445" s="422"/>
    </row>
    <row r="446" spans="1:16" ht="50.25" customHeight="1">
      <c r="A446" s="428" t="s">
        <v>395</v>
      </c>
      <c r="B446" s="429" t="s">
        <v>393</v>
      </c>
      <c r="C446" s="430" t="s">
        <v>391</v>
      </c>
      <c r="D446" s="537">
        <v>641</v>
      </c>
      <c r="E446" s="432">
        <v>613211</v>
      </c>
      <c r="F446" s="433" t="s">
        <v>356</v>
      </c>
      <c r="G446" s="1154">
        <v>0</v>
      </c>
      <c r="H446" s="1154"/>
      <c r="I446" s="1154"/>
      <c r="J446" s="1154">
        <f aca="true" t="shared" si="78" ref="J446:J458">G446+H446-I446</f>
        <v>0</v>
      </c>
      <c r="K446" s="1154">
        <v>0</v>
      </c>
      <c r="L446" s="1154"/>
      <c r="M446" s="1154"/>
      <c r="N446" s="1154">
        <f aca="true" t="shared" si="79" ref="N446:N458">K446+L446-M446</f>
        <v>0</v>
      </c>
      <c r="O446" s="1154">
        <f aca="true" t="shared" si="80" ref="O446:O458">G446+K446</f>
        <v>0</v>
      </c>
      <c r="P446" s="1155">
        <f aca="true" t="shared" si="81" ref="P446:P458">J446+N446</f>
        <v>0</v>
      </c>
    </row>
    <row r="447" spans="1:16" s="582" customFormat="1" ht="35.25" customHeight="1" hidden="1">
      <c r="A447" s="428" t="s">
        <v>395</v>
      </c>
      <c r="B447" s="429" t="s">
        <v>393</v>
      </c>
      <c r="C447" s="430" t="s">
        <v>391</v>
      </c>
      <c r="D447" s="537">
        <v>662</v>
      </c>
      <c r="E447" s="432" t="s">
        <v>190</v>
      </c>
      <c r="F447" s="433" t="s">
        <v>115</v>
      </c>
      <c r="G447" s="1154"/>
      <c r="H447" s="1154"/>
      <c r="I447" s="1154"/>
      <c r="J447" s="1154">
        <f t="shared" si="78"/>
        <v>0</v>
      </c>
      <c r="K447" s="1154"/>
      <c r="L447" s="1154"/>
      <c r="M447" s="1154"/>
      <c r="N447" s="1154">
        <f t="shared" si="79"/>
        <v>0</v>
      </c>
      <c r="O447" s="1154">
        <f t="shared" si="80"/>
        <v>0</v>
      </c>
      <c r="P447" s="1155">
        <f t="shared" si="81"/>
        <v>0</v>
      </c>
    </row>
    <row r="448" spans="1:16" ht="39" customHeight="1">
      <c r="A448" s="428" t="s">
        <v>395</v>
      </c>
      <c r="B448" s="429" t="s">
        <v>393</v>
      </c>
      <c r="C448" s="430" t="s">
        <v>391</v>
      </c>
      <c r="D448" s="537">
        <v>662</v>
      </c>
      <c r="E448" s="432" t="s">
        <v>339</v>
      </c>
      <c r="F448" s="433" t="s">
        <v>353</v>
      </c>
      <c r="G448" s="1154">
        <v>0</v>
      </c>
      <c r="H448" s="1154"/>
      <c r="I448" s="1154"/>
      <c r="J448" s="1154">
        <f t="shared" si="78"/>
        <v>0</v>
      </c>
      <c r="K448" s="1154">
        <v>0</v>
      </c>
      <c r="L448" s="1154"/>
      <c r="M448" s="1154"/>
      <c r="N448" s="1154">
        <f t="shared" si="79"/>
        <v>0</v>
      </c>
      <c r="O448" s="1154">
        <f t="shared" si="80"/>
        <v>0</v>
      </c>
      <c r="P448" s="1155">
        <f t="shared" si="81"/>
        <v>0</v>
      </c>
    </row>
    <row r="449" spans="1:16" ht="37.5" customHeight="1">
      <c r="A449" s="428" t="s">
        <v>395</v>
      </c>
      <c r="B449" s="429" t="s">
        <v>393</v>
      </c>
      <c r="C449" s="430" t="s">
        <v>391</v>
      </c>
      <c r="D449" s="537">
        <v>662</v>
      </c>
      <c r="E449" s="432" t="s">
        <v>197</v>
      </c>
      <c r="F449" s="551" t="s">
        <v>673</v>
      </c>
      <c r="G449" s="1154">
        <v>0</v>
      </c>
      <c r="H449" s="1154"/>
      <c r="I449" s="1154"/>
      <c r="J449" s="1154">
        <f t="shared" si="78"/>
        <v>0</v>
      </c>
      <c r="K449" s="1154">
        <v>0</v>
      </c>
      <c r="L449" s="1154"/>
      <c r="M449" s="1154"/>
      <c r="N449" s="1154">
        <f t="shared" si="79"/>
        <v>0</v>
      </c>
      <c r="O449" s="1154">
        <f t="shared" si="80"/>
        <v>0</v>
      </c>
      <c r="P449" s="1155">
        <f t="shared" si="81"/>
        <v>0</v>
      </c>
    </row>
    <row r="450" spans="1:16" ht="34.5" customHeight="1">
      <c r="A450" s="625" t="s">
        <v>395</v>
      </c>
      <c r="B450" s="595" t="s">
        <v>393</v>
      </c>
      <c r="C450" s="691" t="s">
        <v>391</v>
      </c>
      <c r="D450" s="889">
        <v>641</v>
      </c>
      <c r="E450" s="596">
        <v>613726</v>
      </c>
      <c r="F450" s="714" t="s">
        <v>675</v>
      </c>
      <c r="G450" s="1154">
        <v>0</v>
      </c>
      <c r="H450" s="1154"/>
      <c r="I450" s="1154"/>
      <c r="J450" s="1154">
        <f t="shared" si="78"/>
        <v>0</v>
      </c>
      <c r="K450" s="1154">
        <v>0</v>
      </c>
      <c r="L450" s="1154"/>
      <c r="M450" s="1154"/>
      <c r="N450" s="1154">
        <f t="shared" si="79"/>
        <v>0</v>
      </c>
      <c r="O450" s="1154">
        <f t="shared" si="80"/>
        <v>0</v>
      </c>
      <c r="P450" s="1155">
        <f t="shared" si="81"/>
        <v>0</v>
      </c>
    </row>
    <row r="451" spans="1:16" ht="34.5" customHeight="1">
      <c r="A451" s="625" t="s">
        <v>395</v>
      </c>
      <c r="B451" s="595" t="s">
        <v>393</v>
      </c>
      <c r="C451" s="691" t="s">
        <v>391</v>
      </c>
      <c r="D451" s="889">
        <v>662</v>
      </c>
      <c r="E451" s="596" t="s">
        <v>198</v>
      </c>
      <c r="F451" s="465" t="s">
        <v>716</v>
      </c>
      <c r="G451" s="1154">
        <v>0</v>
      </c>
      <c r="H451" s="1154"/>
      <c r="I451" s="1154"/>
      <c r="J451" s="1154">
        <f t="shared" si="78"/>
        <v>0</v>
      </c>
      <c r="K451" s="1154">
        <v>0</v>
      </c>
      <c r="L451" s="1154"/>
      <c r="M451" s="1154"/>
      <c r="N451" s="1154">
        <f t="shared" si="79"/>
        <v>0</v>
      </c>
      <c r="O451" s="1154">
        <f t="shared" si="80"/>
        <v>0</v>
      </c>
      <c r="P451" s="1155">
        <f t="shared" si="81"/>
        <v>0</v>
      </c>
    </row>
    <row r="452" spans="1:16" ht="37.5" customHeight="1">
      <c r="A452" s="625" t="s">
        <v>395</v>
      </c>
      <c r="B452" s="595" t="s">
        <v>393</v>
      </c>
      <c r="C452" s="691" t="s">
        <v>391</v>
      </c>
      <c r="D452" s="889">
        <v>662</v>
      </c>
      <c r="E452" s="596" t="s">
        <v>199</v>
      </c>
      <c r="F452" s="902" t="s">
        <v>242</v>
      </c>
      <c r="G452" s="1154">
        <v>800000</v>
      </c>
      <c r="H452" s="1154"/>
      <c r="I452" s="1154"/>
      <c r="J452" s="1154">
        <f t="shared" si="78"/>
        <v>800000</v>
      </c>
      <c r="K452" s="1154">
        <v>0</v>
      </c>
      <c r="L452" s="1154"/>
      <c r="M452" s="1154"/>
      <c r="N452" s="1154">
        <f t="shared" si="79"/>
        <v>0</v>
      </c>
      <c r="O452" s="1154">
        <f t="shared" si="80"/>
        <v>800000</v>
      </c>
      <c r="P452" s="1155">
        <f t="shared" si="81"/>
        <v>800000</v>
      </c>
    </row>
    <row r="453" spans="1:16" ht="36" customHeight="1">
      <c r="A453" s="625" t="s">
        <v>395</v>
      </c>
      <c r="B453" s="595" t="s">
        <v>393</v>
      </c>
      <c r="C453" s="691" t="s">
        <v>391</v>
      </c>
      <c r="D453" s="889">
        <v>662</v>
      </c>
      <c r="E453" s="596" t="s">
        <v>963</v>
      </c>
      <c r="F453" s="902" t="s">
        <v>956</v>
      </c>
      <c r="G453" s="1154">
        <v>0</v>
      </c>
      <c r="H453" s="1154"/>
      <c r="I453" s="1154"/>
      <c r="J453" s="1154">
        <f t="shared" si="78"/>
        <v>0</v>
      </c>
      <c r="K453" s="1154">
        <v>0</v>
      </c>
      <c r="L453" s="1154"/>
      <c r="M453" s="1154"/>
      <c r="N453" s="1154">
        <f t="shared" si="79"/>
        <v>0</v>
      </c>
      <c r="O453" s="1154">
        <f t="shared" si="80"/>
        <v>0</v>
      </c>
      <c r="P453" s="1155">
        <f t="shared" si="81"/>
        <v>0</v>
      </c>
    </row>
    <row r="454" spans="1:16" ht="36" customHeight="1">
      <c r="A454" s="625" t="s">
        <v>395</v>
      </c>
      <c r="B454" s="595" t="s">
        <v>393</v>
      </c>
      <c r="C454" s="691" t="s">
        <v>391</v>
      </c>
      <c r="D454" s="889">
        <v>662</v>
      </c>
      <c r="E454" s="596">
        <v>613915</v>
      </c>
      <c r="F454" s="903" t="s">
        <v>717</v>
      </c>
      <c r="G454" s="1154">
        <v>225234.25</v>
      </c>
      <c r="H454" s="1154"/>
      <c r="I454" s="1154"/>
      <c r="J454" s="1154">
        <f t="shared" si="78"/>
        <v>225234.25</v>
      </c>
      <c r="K454" s="1154">
        <v>10000</v>
      </c>
      <c r="L454" s="1154"/>
      <c r="M454" s="1154"/>
      <c r="N454" s="1154">
        <f t="shared" si="79"/>
        <v>10000</v>
      </c>
      <c r="O454" s="1154">
        <f t="shared" si="80"/>
        <v>235234.25</v>
      </c>
      <c r="P454" s="1155">
        <f t="shared" si="81"/>
        <v>235234.25</v>
      </c>
    </row>
    <row r="455" spans="1:16" ht="58.5" customHeight="1">
      <c r="A455" s="570" t="s">
        <v>395</v>
      </c>
      <c r="B455" s="571" t="s">
        <v>393</v>
      </c>
      <c r="C455" s="572" t="s">
        <v>391</v>
      </c>
      <c r="D455" s="904">
        <v>662</v>
      </c>
      <c r="E455" s="590" t="s">
        <v>77</v>
      </c>
      <c r="F455" s="591" t="s">
        <v>78</v>
      </c>
      <c r="G455" s="1154">
        <v>0</v>
      </c>
      <c r="H455" s="1154"/>
      <c r="I455" s="1154"/>
      <c r="J455" s="1154">
        <f t="shared" si="78"/>
        <v>0</v>
      </c>
      <c r="K455" s="1154">
        <v>0</v>
      </c>
      <c r="L455" s="1154"/>
      <c r="M455" s="1154"/>
      <c r="N455" s="1154">
        <f t="shared" si="79"/>
        <v>0</v>
      </c>
      <c r="O455" s="1154">
        <f t="shared" si="80"/>
        <v>0</v>
      </c>
      <c r="P455" s="1155">
        <f t="shared" si="81"/>
        <v>0</v>
      </c>
    </row>
    <row r="456" spans="1:16" ht="34.5" customHeight="1">
      <c r="A456" s="625" t="s">
        <v>395</v>
      </c>
      <c r="B456" s="595" t="s">
        <v>393</v>
      </c>
      <c r="C456" s="691" t="s">
        <v>391</v>
      </c>
      <c r="D456" s="889">
        <v>662</v>
      </c>
      <c r="E456" s="692">
        <v>613997</v>
      </c>
      <c r="F456" s="903" t="s">
        <v>189</v>
      </c>
      <c r="G456" s="1154">
        <v>300000</v>
      </c>
      <c r="H456" s="1154"/>
      <c r="I456" s="1154"/>
      <c r="J456" s="1154">
        <f t="shared" si="78"/>
        <v>300000</v>
      </c>
      <c r="K456" s="1154">
        <v>0</v>
      </c>
      <c r="L456" s="1154"/>
      <c r="M456" s="1154"/>
      <c r="N456" s="1154">
        <f t="shared" si="79"/>
        <v>0</v>
      </c>
      <c r="O456" s="1154">
        <f t="shared" si="80"/>
        <v>300000</v>
      </c>
      <c r="P456" s="1155">
        <f t="shared" si="81"/>
        <v>300000</v>
      </c>
    </row>
    <row r="457" spans="1:16" ht="48" customHeight="1">
      <c r="A457" s="1297" t="s">
        <v>395</v>
      </c>
      <c r="B457" s="1298" t="s">
        <v>393</v>
      </c>
      <c r="C457" s="1299" t="s">
        <v>391</v>
      </c>
      <c r="D457" s="1300">
        <v>662</v>
      </c>
      <c r="E457" s="1301" t="s">
        <v>1399</v>
      </c>
      <c r="F457" s="1302" t="s">
        <v>1407</v>
      </c>
      <c r="G457" s="1303">
        <v>0</v>
      </c>
      <c r="H457" s="1303">
        <v>800000</v>
      </c>
      <c r="I457" s="1303"/>
      <c r="J457" s="1303">
        <f t="shared" si="78"/>
        <v>800000</v>
      </c>
      <c r="K457" s="1303">
        <v>0</v>
      </c>
      <c r="L457" s="1303"/>
      <c r="M457" s="1303"/>
      <c r="N457" s="1303">
        <f t="shared" si="79"/>
        <v>0</v>
      </c>
      <c r="O457" s="1303">
        <f t="shared" si="80"/>
        <v>0</v>
      </c>
      <c r="P457" s="1304">
        <f t="shared" si="81"/>
        <v>800000</v>
      </c>
    </row>
    <row r="458" spans="1:16" ht="46.5" customHeight="1">
      <c r="A458" s="570" t="s">
        <v>395</v>
      </c>
      <c r="B458" s="571" t="s">
        <v>393</v>
      </c>
      <c r="C458" s="572" t="s">
        <v>391</v>
      </c>
      <c r="D458" s="946">
        <v>171</v>
      </c>
      <c r="E458" s="947">
        <v>616331</v>
      </c>
      <c r="F458" s="927" t="s">
        <v>112</v>
      </c>
      <c r="G458" s="1154">
        <v>0</v>
      </c>
      <c r="H458" s="1154"/>
      <c r="I458" s="1154"/>
      <c r="J458" s="1154">
        <f t="shared" si="78"/>
        <v>0</v>
      </c>
      <c r="K458" s="1156">
        <v>0</v>
      </c>
      <c r="L458" s="1156"/>
      <c r="M458" s="1156"/>
      <c r="N458" s="1154">
        <f t="shared" si="79"/>
        <v>0</v>
      </c>
      <c r="O458" s="1154">
        <f t="shared" si="80"/>
        <v>0</v>
      </c>
      <c r="P458" s="1155">
        <f t="shared" si="81"/>
        <v>0</v>
      </c>
    </row>
    <row r="459" spans="1:16" ht="39" customHeight="1" thickBot="1">
      <c r="A459" s="539"/>
      <c r="B459" s="540"/>
      <c r="C459" s="540"/>
      <c r="D459" s="453"/>
      <c r="E459" s="679"/>
      <c r="F459" s="680" t="s">
        <v>887</v>
      </c>
      <c r="G459" s="1160">
        <f aca="true" t="shared" si="82" ref="G459:P459">SUM(G446:G458)</f>
        <v>1325234.25</v>
      </c>
      <c r="H459" s="1160">
        <f t="shared" si="82"/>
        <v>800000</v>
      </c>
      <c r="I459" s="1160">
        <f t="shared" si="82"/>
        <v>0</v>
      </c>
      <c r="J459" s="1160">
        <f t="shared" si="82"/>
        <v>2125234.25</v>
      </c>
      <c r="K459" s="1160">
        <f t="shared" si="82"/>
        <v>10000</v>
      </c>
      <c r="L459" s="1160">
        <f t="shared" si="82"/>
        <v>0</v>
      </c>
      <c r="M459" s="1160">
        <f t="shared" si="82"/>
        <v>0</v>
      </c>
      <c r="N459" s="1160">
        <f t="shared" si="82"/>
        <v>10000</v>
      </c>
      <c r="O459" s="1160">
        <f t="shared" si="82"/>
        <v>1335234.25</v>
      </c>
      <c r="P459" s="1160">
        <f t="shared" si="82"/>
        <v>2135234.25</v>
      </c>
    </row>
    <row r="460" spans="1:16" ht="283.5" customHeight="1">
      <c r="A460" s="401" t="s">
        <v>494</v>
      </c>
      <c r="B460" s="402" t="s">
        <v>495</v>
      </c>
      <c r="C460" s="403" t="s">
        <v>687</v>
      </c>
      <c r="D460" s="404" t="s">
        <v>497</v>
      </c>
      <c r="E460" s="404" t="s">
        <v>188</v>
      </c>
      <c r="F460" s="405" t="s">
        <v>496</v>
      </c>
      <c r="G460" s="813" t="s">
        <v>1322</v>
      </c>
      <c r="H460" s="813" t="s">
        <v>1324</v>
      </c>
      <c r="I460" s="813" t="s">
        <v>1325</v>
      </c>
      <c r="J460" s="813" t="s">
        <v>1326</v>
      </c>
      <c r="K460" s="813" t="s">
        <v>1323</v>
      </c>
      <c r="L460" s="813" t="s">
        <v>1327</v>
      </c>
      <c r="M460" s="813" t="s">
        <v>1328</v>
      </c>
      <c r="N460" s="813" t="s">
        <v>1329</v>
      </c>
      <c r="O460" s="1278" t="s">
        <v>1321</v>
      </c>
      <c r="P460" s="1149" t="s">
        <v>1330</v>
      </c>
    </row>
    <row r="461" spans="1:16" ht="18" customHeight="1">
      <c r="A461" s="407">
        <v>0</v>
      </c>
      <c r="B461" s="408"/>
      <c r="C461" s="408"/>
      <c r="D461" s="409">
        <v>1</v>
      </c>
      <c r="E461" s="681">
        <v>2</v>
      </c>
      <c r="F461" s="682">
        <v>3</v>
      </c>
      <c r="G461" s="1150">
        <v>4</v>
      </c>
      <c r="H461" s="1150">
        <v>5</v>
      </c>
      <c r="I461" s="1150">
        <v>6</v>
      </c>
      <c r="J461" s="1150">
        <v>7</v>
      </c>
      <c r="K461" s="1150">
        <v>8</v>
      </c>
      <c r="L461" s="1150">
        <v>9</v>
      </c>
      <c r="M461" s="1150">
        <v>10</v>
      </c>
      <c r="N461" s="1150">
        <v>11</v>
      </c>
      <c r="O461" s="1150">
        <v>12</v>
      </c>
      <c r="P461" s="1151">
        <v>13</v>
      </c>
    </row>
    <row r="462" spans="1:16" ht="9.75" customHeight="1">
      <c r="A462" s="683"/>
      <c r="B462" s="684"/>
      <c r="C462" s="684"/>
      <c r="D462" s="685"/>
      <c r="E462" s="686"/>
      <c r="F462" s="687"/>
      <c r="G462" s="1213"/>
      <c r="H462" s="1213"/>
      <c r="I462" s="1213"/>
      <c r="J462" s="1213"/>
      <c r="K462" s="1213"/>
      <c r="L462" s="1213"/>
      <c r="M462" s="1213"/>
      <c r="N462" s="1213"/>
      <c r="O462" s="1213"/>
      <c r="P462" s="1214"/>
    </row>
    <row r="463" spans="1:16" ht="45.75" customHeight="1">
      <c r="A463" s="552"/>
      <c r="B463" s="553"/>
      <c r="C463" s="553"/>
      <c r="D463" s="420"/>
      <c r="E463" s="688">
        <v>820000</v>
      </c>
      <c r="F463" s="689" t="s">
        <v>654</v>
      </c>
      <c r="G463" s="422"/>
      <c r="H463" s="422"/>
      <c r="I463" s="422"/>
      <c r="J463" s="422"/>
      <c r="K463" s="422"/>
      <c r="L463" s="422"/>
      <c r="M463" s="422"/>
      <c r="N463" s="422"/>
      <c r="O463" s="422"/>
      <c r="P463" s="1153"/>
    </row>
    <row r="464" spans="1:16" ht="47.25" customHeight="1">
      <c r="A464" s="625" t="s">
        <v>395</v>
      </c>
      <c r="B464" s="595" t="s">
        <v>393</v>
      </c>
      <c r="C464" s="691" t="s">
        <v>391</v>
      </c>
      <c r="D464" s="888">
        <v>662</v>
      </c>
      <c r="E464" s="692" t="s">
        <v>718</v>
      </c>
      <c r="F464" s="762" t="s">
        <v>957</v>
      </c>
      <c r="G464" s="1154">
        <v>20000</v>
      </c>
      <c r="H464" s="1154"/>
      <c r="I464" s="1154"/>
      <c r="J464" s="1154">
        <f aca="true" t="shared" si="83" ref="J464:J480">G464+H464-I464</f>
        <v>20000</v>
      </c>
      <c r="K464" s="1154">
        <v>0</v>
      </c>
      <c r="L464" s="1154"/>
      <c r="M464" s="1154"/>
      <c r="N464" s="1154">
        <f aca="true" t="shared" si="84" ref="N464:N480">K464+L464-M464</f>
        <v>0</v>
      </c>
      <c r="O464" s="1154">
        <f aca="true" t="shared" si="85" ref="O464:O480">G464+K464</f>
        <v>20000</v>
      </c>
      <c r="P464" s="1155">
        <f aca="true" t="shared" si="86" ref="P464:P480">J464+N464</f>
        <v>20000</v>
      </c>
    </row>
    <row r="465" spans="1:16" ht="39.75" customHeight="1">
      <c r="A465" s="625" t="s">
        <v>395</v>
      </c>
      <c r="B465" s="595" t="s">
        <v>393</v>
      </c>
      <c r="C465" s="691" t="s">
        <v>391</v>
      </c>
      <c r="D465" s="888">
        <v>662</v>
      </c>
      <c r="E465" s="692" t="s">
        <v>1097</v>
      </c>
      <c r="F465" s="1102" t="s">
        <v>1316</v>
      </c>
      <c r="G465" s="1154">
        <v>3000000</v>
      </c>
      <c r="H465" s="1154"/>
      <c r="I465" s="1154"/>
      <c r="J465" s="1154">
        <f t="shared" si="83"/>
        <v>3000000</v>
      </c>
      <c r="K465" s="1154">
        <v>0</v>
      </c>
      <c r="L465" s="1154"/>
      <c r="M465" s="1154"/>
      <c r="N465" s="1154">
        <f t="shared" si="84"/>
        <v>0</v>
      </c>
      <c r="O465" s="1154">
        <f t="shared" si="85"/>
        <v>3000000</v>
      </c>
      <c r="P465" s="1155">
        <f t="shared" si="86"/>
        <v>3000000</v>
      </c>
    </row>
    <row r="466" spans="1:16" ht="36" customHeight="1">
      <c r="A466" s="625" t="s">
        <v>395</v>
      </c>
      <c r="B466" s="595" t="s">
        <v>393</v>
      </c>
      <c r="C466" s="691" t="s">
        <v>391</v>
      </c>
      <c r="D466" s="888">
        <v>662</v>
      </c>
      <c r="E466" s="692" t="s">
        <v>474</v>
      </c>
      <c r="F466" s="907" t="s">
        <v>229</v>
      </c>
      <c r="G466" s="1154">
        <v>143817.56</v>
      </c>
      <c r="H466" s="1154"/>
      <c r="I466" s="1154"/>
      <c r="J466" s="1154">
        <f t="shared" si="83"/>
        <v>143817.56</v>
      </c>
      <c r="K466" s="1154">
        <v>0</v>
      </c>
      <c r="L466" s="1154"/>
      <c r="M466" s="1154"/>
      <c r="N466" s="1154">
        <f t="shared" si="84"/>
        <v>0</v>
      </c>
      <c r="O466" s="1154">
        <f t="shared" si="85"/>
        <v>143817.56</v>
      </c>
      <c r="P466" s="1155">
        <f t="shared" si="86"/>
        <v>143817.56</v>
      </c>
    </row>
    <row r="467" spans="1:16" ht="36" customHeight="1">
      <c r="A467" s="625" t="s">
        <v>395</v>
      </c>
      <c r="B467" s="595" t="s">
        <v>393</v>
      </c>
      <c r="C467" s="691" t="s">
        <v>391</v>
      </c>
      <c r="D467" s="888">
        <v>662</v>
      </c>
      <c r="E467" s="692" t="s">
        <v>1096</v>
      </c>
      <c r="F467" s="907" t="s">
        <v>826</v>
      </c>
      <c r="G467" s="1154">
        <v>3273.34</v>
      </c>
      <c r="H467" s="1154"/>
      <c r="I467" s="1154"/>
      <c r="J467" s="1154">
        <f t="shared" si="83"/>
        <v>3273.34</v>
      </c>
      <c r="K467" s="1154">
        <v>0</v>
      </c>
      <c r="L467" s="1154"/>
      <c r="M467" s="1154"/>
      <c r="N467" s="1154">
        <f t="shared" si="84"/>
        <v>0</v>
      </c>
      <c r="O467" s="1154">
        <f t="shared" si="85"/>
        <v>3273.34</v>
      </c>
      <c r="P467" s="1155">
        <f t="shared" si="86"/>
        <v>3273.34</v>
      </c>
    </row>
    <row r="468" spans="1:16" ht="36" customHeight="1">
      <c r="A468" s="625" t="s">
        <v>395</v>
      </c>
      <c r="B468" s="595" t="s">
        <v>393</v>
      </c>
      <c r="C468" s="691" t="s">
        <v>391</v>
      </c>
      <c r="D468" s="888">
        <v>662</v>
      </c>
      <c r="E468" s="692" t="s">
        <v>1109</v>
      </c>
      <c r="F468" s="907" t="s">
        <v>1208</v>
      </c>
      <c r="G468" s="1154">
        <v>500000</v>
      </c>
      <c r="H468" s="1154"/>
      <c r="I468" s="1154"/>
      <c r="J468" s="1154">
        <f t="shared" si="83"/>
        <v>500000</v>
      </c>
      <c r="K468" s="1154">
        <v>0</v>
      </c>
      <c r="L468" s="1154"/>
      <c r="M468" s="1154"/>
      <c r="N468" s="1154">
        <f t="shared" si="84"/>
        <v>0</v>
      </c>
      <c r="O468" s="1154">
        <f t="shared" si="85"/>
        <v>500000</v>
      </c>
      <c r="P468" s="1155">
        <f t="shared" si="86"/>
        <v>500000</v>
      </c>
    </row>
    <row r="469" spans="1:16" ht="36" customHeight="1">
      <c r="A469" s="625" t="s">
        <v>395</v>
      </c>
      <c r="B469" s="595" t="s">
        <v>393</v>
      </c>
      <c r="C469" s="691" t="s">
        <v>391</v>
      </c>
      <c r="D469" s="888">
        <v>641</v>
      </c>
      <c r="E469" s="692" t="s">
        <v>475</v>
      </c>
      <c r="F469" s="714" t="s">
        <v>354</v>
      </c>
      <c r="G469" s="1154">
        <v>258000</v>
      </c>
      <c r="H469" s="1154"/>
      <c r="I469" s="1154"/>
      <c r="J469" s="1154">
        <f t="shared" si="83"/>
        <v>258000</v>
      </c>
      <c r="K469" s="1154">
        <v>40000</v>
      </c>
      <c r="L469" s="1154"/>
      <c r="M469" s="1154"/>
      <c r="N469" s="1154">
        <f t="shared" si="84"/>
        <v>40000</v>
      </c>
      <c r="O469" s="1154">
        <f t="shared" si="85"/>
        <v>298000</v>
      </c>
      <c r="P469" s="1155">
        <f t="shared" si="86"/>
        <v>298000</v>
      </c>
    </row>
    <row r="470" spans="1:16" ht="36" customHeight="1">
      <c r="A470" s="625" t="s">
        <v>395</v>
      </c>
      <c r="B470" s="595" t="s">
        <v>393</v>
      </c>
      <c r="C470" s="691" t="s">
        <v>391</v>
      </c>
      <c r="D470" s="888">
        <v>662</v>
      </c>
      <c r="E470" s="692" t="s">
        <v>69</v>
      </c>
      <c r="F470" s="714" t="s">
        <v>70</v>
      </c>
      <c r="G470" s="1154">
        <v>920000</v>
      </c>
      <c r="H470" s="1154"/>
      <c r="I470" s="1154"/>
      <c r="J470" s="1154">
        <f t="shared" si="83"/>
        <v>920000</v>
      </c>
      <c r="K470" s="1154">
        <v>0</v>
      </c>
      <c r="L470" s="1154"/>
      <c r="M470" s="1154"/>
      <c r="N470" s="1154">
        <f t="shared" si="84"/>
        <v>0</v>
      </c>
      <c r="O470" s="1154">
        <f t="shared" si="85"/>
        <v>920000</v>
      </c>
      <c r="P470" s="1155">
        <f t="shared" si="86"/>
        <v>920000</v>
      </c>
    </row>
    <row r="471" spans="1:16" ht="36" customHeight="1">
      <c r="A471" s="625" t="s">
        <v>395</v>
      </c>
      <c r="B471" s="595" t="s">
        <v>393</v>
      </c>
      <c r="C471" s="691" t="s">
        <v>391</v>
      </c>
      <c r="D471" s="888">
        <v>662</v>
      </c>
      <c r="E471" s="692" t="s">
        <v>476</v>
      </c>
      <c r="F471" s="578" t="s">
        <v>477</v>
      </c>
      <c r="G471" s="1190">
        <v>4918449.36</v>
      </c>
      <c r="H471" s="1190"/>
      <c r="I471" s="1190"/>
      <c r="J471" s="1154">
        <f t="shared" si="83"/>
        <v>4918449.36</v>
      </c>
      <c r="K471" s="1154">
        <v>389972.72</v>
      </c>
      <c r="L471" s="1154"/>
      <c r="M471" s="1154"/>
      <c r="N471" s="1154">
        <f t="shared" si="84"/>
        <v>389972.72</v>
      </c>
      <c r="O471" s="1154">
        <f t="shared" si="85"/>
        <v>5308422.08</v>
      </c>
      <c r="P471" s="1155">
        <f t="shared" si="86"/>
        <v>5308422.08</v>
      </c>
    </row>
    <row r="472" spans="1:16" ht="36" customHeight="1">
      <c r="A472" s="625" t="s">
        <v>395</v>
      </c>
      <c r="B472" s="595" t="s">
        <v>393</v>
      </c>
      <c r="C472" s="691" t="s">
        <v>391</v>
      </c>
      <c r="D472" s="888">
        <v>662</v>
      </c>
      <c r="E472" s="692" t="s">
        <v>478</v>
      </c>
      <c r="F472" s="578" t="s">
        <v>50</v>
      </c>
      <c r="G472" s="1154">
        <v>104736.8</v>
      </c>
      <c r="H472" s="1154"/>
      <c r="I472" s="1154"/>
      <c r="J472" s="1154">
        <f t="shared" si="83"/>
        <v>104736.8</v>
      </c>
      <c r="K472" s="1154">
        <v>236000</v>
      </c>
      <c r="L472" s="1154"/>
      <c r="M472" s="1154"/>
      <c r="N472" s="1154">
        <f t="shared" si="84"/>
        <v>236000</v>
      </c>
      <c r="O472" s="1154">
        <f t="shared" si="85"/>
        <v>340736.8</v>
      </c>
      <c r="P472" s="1155">
        <f t="shared" si="86"/>
        <v>340736.8</v>
      </c>
    </row>
    <row r="473" spans="1:16" ht="36" customHeight="1">
      <c r="A473" s="625" t="s">
        <v>395</v>
      </c>
      <c r="B473" s="595" t="s">
        <v>393</v>
      </c>
      <c r="C473" s="691" t="s">
        <v>391</v>
      </c>
      <c r="D473" s="888">
        <v>662</v>
      </c>
      <c r="E473" s="692" t="s">
        <v>286</v>
      </c>
      <c r="F473" s="573" t="s">
        <v>828</v>
      </c>
      <c r="G473" s="1154">
        <v>50000</v>
      </c>
      <c r="H473" s="1154"/>
      <c r="I473" s="1154"/>
      <c r="J473" s="1154">
        <f t="shared" si="83"/>
        <v>50000</v>
      </c>
      <c r="K473" s="1154">
        <v>0</v>
      </c>
      <c r="L473" s="1154"/>
      <c r="M473" s="1154"/>
      <c r="N473" s="1154">
        <f t="shared" si="84"/>
        <v>0</v>
      </c>
      <c r="O473" s="1154">
        <f t="shared" si="85"/>
        <v>50000</v>
      </c>
      <c r="P473" s="1155">
        <f t="shared" si="86"/>
        <v>50000</v>
      </c>
    </row>
    <row r="474" spans="1:16" ht="36" customHeight="1">
      <c r="A474" s="1311" t="s">
        <v>395</v>
      </c>
      <c r="B474" s="1312" t="s">
        <v>393</v>
      </c>
      <c r="C474" s="1336" t="s">
        <v>391</v>
      </c>
      <c r="D474" s="1339">
        <v>662</v>
      </c>
      <c r="E474" s="1359" t="s">
        <v>61</v>
      </c>
      <c r="F474" s="1454" t="s">
        <v>820</v>
      </c>
      <c r="G474" s="1315">
        <v>0</v>
      </c>
      <c r="H474" s="1315"/>
      <c r="I474" s="1315"/>
      <c r="J474" s="1315">
        <f t="shared" si="83"/>
        <v>0</v>
      </c>
      <c r="K474" s="1315">
        <v>1410000</v>
      </c>
      <c r="L474" s="1315"/>
      <c r="M474" s="1315">
        <v>1000000</v>
      </c>
      <c r="N474" s="1315">
        <f t="shared" si="84"/>
        <v>410000</v>
      </c>
      <c r="O474" s="1315">
        <f t="shared" si="85"/>
        <v>1410000</v>
      </c>
      <c r="P474" s="1316">
        <f t="shared" si="86"/>
        <v>410000</v>
      </c>
    </row>
    <row r="475" spans="1:16" ht="45" customHeight="1">
      <c r="A475" s="625" t="s">
        <v>395</v>
      </c>
      <c r="B475" s="595" t="s">
        <v>393</v>
      </c>
      <c r="C475" s="691" t="s">
        <v>391</v>
      </c>
      <c r="D475" s="888">
        <v>631</v>
      </c>
      <c r="E475" s="692" t="s">
        <v>479</v>
      </c>
      <c r="F475" s="569" t="s">
        <v>720</v>
      </c>
      <c r="G475" s="1154">
        <v>1378332.87</v>
      </c>
      <c r="H475" s="1154"/>
      <c r="I475" s="1154"/>
      <c r="J475" s="1154">
        <f t="shared" si="83"/>
        <v>1378332.87</v>
      </c>
      <c r="K475" s="1154">
        <v>281865.01</v>
      </c>
      <c r="L475" s="1154"/>
      <c r="M475" s="1154"/>
      <c r="N475" s="1154">
        <f t="shared" si="84"/>
        <v>281865.01</v>
      </c>
      <c r="O475" s="1154">
        <f t="shared" si="85"/>
        <v>1660197.8800000001</v>
      </c>
      <c r="P475" s="1155">
        <f t="shared" si="86"/>
        <v>1660197.8800000001</v>
      </c>
    </row>
    <row r="476" spans="1:16" ht="48" customHeight="1">
      <c r="A476" s="1297" t="s">
        <v>395</v>
      </c>
      <c r="B476" s="1298" t="s">
        <v>393</v>
      </c>
      <c r="C476" s="1299" t="s">
        <v>391</v>
      </c>
      <c r="D476" s="1365">
        <v>531</v>
      </c>
      <c r="E476" s="1448" t="s">
        <v>480</v>
      </c>
      <c r="F476" s="1426" t="s">
        <v>601</v>
      </c>
      <c r="G476" s="1303">
        <v>300000</v>
      </c>
      <c r="H476" s="1303"/>
      <c r="I476" s="1303"/>
      <c r="J476" s="1315">
        <f t="shared" si="83"/>
        <v>300000</v>
      </c>
      <c r="K476" s="1303">
        <v>1693227.93</v>
      </c>
      <c r="L476" s="1303">
        <v>11059.2</v>
      </c>
      <c r="M476" s="1303"/>
      <c r="N476" s="1315">
        <f t="shared" si="84"/>
        <v>1704287.13</v>
      </c>
      <c r="O476" s="1303">
        <f t="shared" si="85"/>
        <v>1993227.93</v>
      </c>
      <c r="P476" s="1316">
        <f t="shared" si="86"/>
        <v>2004287.13</v>
      </c>
    </row>
    <row r="477" spans="1:16" ht="33" customHeight="1">
      <c r="A477" s="625" t="s">
        <v>395</v>
      </c>
      <c r="B477" s="595" t="s">
        <v>393</v>
      </c>
      <c r="C477" s="691" t="s">
        <v>391</v>
      </c>
      <c r="D477" s="888">
        <v>662</v>
      </c>
      <c r="E477" s="908">
        <v>821300</v>
      </c>
      <c r="F477" s="907" t="s">
        <v>899</v>
      </c>
      <c r="G477" s="1154">
        <v>42650</v>
      </c>
      <c r="H477" s="1154"/>
      <c r="I477" s="1154"/>
      <c r="J477" s="1154">
        <f t="shared" si="83"/>
        <v>42650</v>
      </c>
      <c r="K477" s="1154">
        <v>0</v>
      </c>
      <c r="L477" s="1154"/>
      <c r="M477" s="1154"/>
      <c r="N477" s="1154">
        <f t="shared" si="84"/>
        <v>0</v>
      </c>
      <c r="O477" s="1154">
        <f t="shared" si="85"/>
        <v>42650</v>
      </c>
      <c r="P477" s="1155">
        <f t="shared" si="86"/>
        <v>42650</v>
      </c>
    </row>
    <row r="478" spans="1:16" ht="33" customHeight="1">
      <c r="A478" s="625" t="s">
        <v>395</v>
      </c>
      <c r="B478" s="595" t="s">
        <v>393</v>
      </c>
      <c r="C478" s="691" t="s">
        <v>391</v>
      </c>
      <c r="D478" s="888">
        <v>662</v>
      </c>
      <c r="E478" s="908" t="s">
        <v>993</v>
      </c>
      <c r="F478" s="907" t="s">
        <v>1379</v>
      </c>
      <c r="G478" s="1154">
        <v>0</v>
      </c>
      <c r="H478" s="1154"/>
      <c r="I478" s="1154"/>
      <c r="J478" s="1154">
        <f t="shared" si="83"/>
        <v>0</v>
      </c>
      <c r="K478" s="1154">
        <v>85000</v>
      </c>
      <c r="L478" s="1154"/>
      <c r="M478" s="1154"/>
      <c r="N478" s="1154">
        <f t="shared" si="84"/>
        <v>85000</v>
      </c>
      <c r="O478" s="1154">
        <f t="shared" si="85"/>
        <v>85000</v>
      </c>
      <c r="P478" s="1155">
        <f t="shared" si="86"/>
        <v>85000</v>
      </c>
    </row>
    <row r="479" spans="1:16" ht="36.75" customHeight="1">
      <c r="A479" s="625" t="s">
        <v>395</v>
      </c>
      <c r="B479" s="595" t="s">
        <v>393</v>
      </c>
      <c r="C479" s="691" t="s">
        <v>391</v>
      </c>
      <c r="D479" s="888">
        <v>662</v>
      </c>
      <c r="E479" s="909" t="s">
        <v>857</v>
      </c>
      <c r="F479" s="907" t="s">
        <v>907</v>
      </c>
      <c r="G479" s="1154">
        <v>0</v>
      </c>
      <c r="H479" s="1154"/>
      <c r="I479" s="1154"/>
      <c r="J479" s="1154">
        <f t="shared" si="83"/>
        <v>0</v>
      </c>
      <c r="K479" s="1154">
        <v>0</v>
      </c>
      <c r="L479" s="1154"/>
      <c r="M479" s="1154"/>
      <c r="N479" s="1154">
        <f t="shared" si="84"/>
        <v>0</v>
      </c>
      <c r="O479" s="1154">
        <f t="shared" si="85"/>
        <v>0</v>
      </c>
      <c r="P479" s="1155">
        <f t="shared" si="86"/>
        <v>0</v>
      </c>
    </row>
    <row r="480" spans="1:16" ht="39" customHeight="1">
      <c r="A480" s="625" t="s">
        <v>395</v>
      </c>
      <c r="B480" s="595" t="s">
        <v>393</v>
      </c>
      <c r="C480" s="691" t="s">
        <v>391</v>
      </c>
      <c r="D480" s="888">
        <v>662</v>
      </c>
      <c r="E480" s="910" t="s">
        <v>243</v>
      </c>
      <c r="F480" s="911" t="s">
        <v>244</v>
      </c>
      <c r="G480" s="1154">
        <v>800000</v>
      </c>
      <c r="H480" s="1154"/>
      <c r="I480" s="1154"/>
      <c r="J480" s="1154">
        <f t="shared" si="83"/>
        <v>800000</v>
      </c>
      <c r="K480" s="1154">
        <v>0</v>
      </c>
      <c r="L480" s="1154"/>
      <c r="M480" s="1154"/>
      <c r="N480" s="1154">
        <f t="shared" si="84"/>
        <v>0</v>
      </c>
      <c r="O480" s="1154">
        <f t="shared" si="85"/>
        <v>800000</v>
      </c>
      <c r="P480" s="1155">
        <f t="shared" si="86"/>
        <v>800000</v>
      </c>
    </row>
    <row r="481" spans="1:16" ht="38.25" customHeight="1">
      <c r="A481" s="912"/>
      <c r="B481" s="899"/>
      <c r="C481" s="899"/>
      <c r="D481" s="899"/>
      <c r="E481" s="913"/>
      <c r="F481" s="615" t="s">
        <v>721</v>
      </c>
      <c r="G481" s="1163">
        <f aca="true" t="shared" si="87" ref="G481:P481">SUM(G464:G480)</f>
        <v>12439259.930000003</v>
      </c>
      <c r="H481" s="1163">
        <f t="shared" si="87"/>
        <v>0</v>
      </c>
      <c r="I481" s="1163">
        <f t="shared" si="87"/>
        <v>0</v>
      </c>
      <c r="J481" s="1163">
        <f t="shared" si="87"/>
        <v>12439259.930000003</v>
      </c>
      <c r="K481" s="1163">
        <f t="shared" si="87"/>
        <v>4136065.66</v>
      </c>
      <c r="L481" s="1163">
        <f t="shared" si="87"/>
        <v>11059.2</v>
      </c>
      <c r="M481" s="1163">
        <f t="shared" si="87"/>
        <v>1000000</v>
      </c>
      <c r="N481" s="1163">
        <f t="shared" si="87"/>
        <v>3147124.86</v>
      </c>
      <c r="O481" s="1164">
        <f t="shared" si="87"/>
        <v>16575325.590000002</v>
      </c>
      <c r="P481" s="1165">
        <f t="shared" si="87"/>
        <v>15586384.790000003</v>
      </c>
    </row>
    <row r="482" spans="1:16" ht="38.25" customHeight="1">
      <c r="A482" s="583"/>
      <c r="B482" s="584"/>
      <c r="C482" s="584"/>
      <c r="D482" s="413"/>
      <c r="E482" s="695">
        <v>823000</v>
      </c>
      <c r="F482" s="696" t="s">
        <v>972</v>
      </c>
      <c r="G482" s="1184"/>
      <c r="H482" s="1184"/>
      <c r="I482" s="1184"/>
      <c r="J482" s="1184"/>
      <c r="K482" s="1184"/>
      <c r="L482" s="1184"/>
      <c r="M482" s="1184"/>
      <c r="N482" s="1184"/>
      <c r="O482" s="1184"/>
      <c r="P482" s="1185"/>
    </row>
    <row r="483" spans="1:16" ht="38.25" customHeight="1">
      <c r="A483" s="428" t="s">
        <v>395</v>
      </c>
      <c r="B483" s="429" t="s">
        <v>393</v>
      </c>
      <c r="C483" s="430" t="s">
        <v>391</v>
      </c>
      <c r="D483" s="431">
        <v>171</v>
      </c>
      <c r="E483" s="697">
        <v>823331</v>
      </c>
      <c r="F483" s="450" t="s">
        <v>808</v>
      </c>
      <c r="G483" s="1154">
        <v>1390000</v>
      </c>
      <c r="H483" s="1154"/>
      <c r="I483" s="1154"/>
      <c r="J483" s="1154">
        <f>G483+H483-I483</f>
        <v>1390000</v>
      </c>
      <c r="K483" s="1154">
        <v>0</v>
      </c>
      <c r="L483" s="1154"/>
      <c r="M483" s="1154"/>
      <c r="N483" s="1154">
        <f>K483+L483-M483</f>
        <v>0</v>
      </c>
      <c r="O483" s="1154">
        <f>G483+K483</f>
        <v>1390000</v>
      </c>
      <c r="P483" s="1155">
        <f>J483+N483</f>
        <v>1390000</v>
      </c>
    </row>
    <row r="484" spans="1:16" ht="57.75" customHeight="1">
      <c r="A484" s="437" t="s">
        <v>395</v>
      </c>
      <c r="B484" s="438" t="s">
        <v>393</v>
      </c>
      <c r="C484" s="439" t="s">
        <v>391</v>
      </c>
      <c r="D484" s="698">
        <v>171</v>
      </c>
      <c r="E484" s="699" t="s">
        <v>1191</v>
      </c>
      <c r="F484" s="504" t="s">
        <v>1187</v>
      </c>
      <c r="G484" s="1154">
        <v>550000</v>
      </c>
      <c r="H484" s="1154"/>
      <c r="I484" s="1154"/>
      <c r="J484" s="1154">
        <f>G484+H484-I484</f>
        <v>550000</v>
      </c>
      <c r="K484" s="1154">
        <v>0</v>
      </c>
      <c r="L484" s="1154"/>
      <c r="M484" s="1154"/>
      <c r="N484" s="1154">
        <f>K484+L484-M484</f>
        <v>0</v>
      </c>
      <c r="O484" s="1154">
        <f>G484+K484</f>
        <v>550000</v>
      </c>
      <c r="P484" s="1155">
        <f>J484+N484</f>
        <v>550000</v>
      </c>
    </row>
    <row r="485" spans="1:16" ht="57.75" customHeight="1">
      <c r="A485" s="437" t="s">
        <v>395</v>
      </c>
      <c r="B485" s="438" t="s">
        <v>393</v>
      </c>
      <c r="C485" s="439" t="s">
        <v>391</v>
      </c>
      <c r="D485" s="698">
        <v>171</v>
      </c>
      <c r="E485" s="699" t="s">
        <v>1192</v>
      </c>
      <c r="F485" s="507" t="s">
        <v>1188</v>
      </c>
      <c r="G485" s="1182">
        <v>1500000</v>
      </c>
      <c r="H485" s="1182"/>
      <c r="I485" s="1182"/>
      <c r="J485" s="1154">
        <f>G485+H485-I485</f>
        <v>1500000</v>
      </c>
      <c r="K485" s="1182">
        <v>0</v>
      </c>
      <c r="L485" s="1154"/>
      <c r="M485" s="1154"/>
      <c r="N485" s="1154">
        <f>K485+L485-M485</f>
        <v>0</v>
      </c>
      <c r="O485" s="1154">
        <f>G485+K485</f>
        <v>1500000</v>
      </c>
      <c r="P485" s="1155">
        <f>J485+N485</f>
        <v>1500000</v>
      </c>
    </row>
    <row r="486" spans="1:16" ht="44.25" customHeight="1">
      <c r="A486" s="488"/>
      <c r="B486" s="489"/>
      <c r="C486" s="532"/>
      <c r="D486" s="700"/>
      <c r="E486" s="699"/>
      <c r="F486" s="566" t="s">
        <v>973</v>
      </c>
      <c r="G486" s="1184">
        <f aca="true" t="shared" si="88" ref="G486:P486">SUM(G483:G485)</f>
        <v>3440000</v>
      </c>
      <c r="H486" s="1184">
        <f t="shared" si="88"/>
        <v>0</v>
      </c>
      <c r="I486" s="1184">
        <f t="shared" si="88"/>
        <v>0</v>
      </c>
      <c r="J486" s="1184">
        <f t="shared" si="88"/>
        <v>3440000</v>
      </c>
      <c r="K486" s="1184">
        <f t="shared" si="88"/>
        <v>0</v>
      </c>
      <c r="L486" s="1184">
        <f t="shared" si="88"/>
        <v>0</v>
      </c>
      <c r="M486" s="1184">
        <f t="shared" si="88"/>
        <v>0</v>
      </c>
      <c r="N486" s="1184">
        <f t="shared" si="88"/>
        <v>0</v>
      </c>
      <c r="O486" s="1184">
        <f t="shared" si="88"/>
        <v>3440000</v>
      </c>
      <c r="P486" s="1185">
        <f t="shared" si="88"/>
        <v>3440000</v>
      </c>
    </row>
    <row r="487" spans="1:16" ht="58.5" customHeight="1" thickBot="1">
      <c r="A487" s="539"/>
      <c r="B487" s="540"/>
      <c r="C487" s="540"/>
      <c r="D487" s="453"/>
      <c r="E487" s="701"/>
      <c r="F487" s="515" t="s">
        <v>1103</v>
      </c>
      <c r="G487" s="1160">
        <f aca="true" t="shared" si="89" ref="G487:P487">SUM(G459,G481,G486,)</f>
        <v>17204494.180000003</v>
      </c>
      <c r="H487" s="1160">
        <f t="shared" si="89"/>
        <v>800000</v>
      </c>
      <c r="I487" s="1160">
        <f t="shared" si="89"/>
        <v>0</v>
      </c>
      <c r="J487" s="1160">
        <f t="shared" si="89"/>
        <v>18004494.180000003</v>
      </c>
      <c r="K487" s="1160">
        <f t="shared" si="89"/>
        <v>4146065.66</v>
      </c>
      <c r="L487" s="1160">
        <f t="shared" si="89"/>
        <v>11059.2</v>
      </c>
      <c r="M487" s="1160">
        <f t="shared" si="89"/>
        <v>1000000</v>
      </c>
      <c r="N487" s="1160">
        <f t="shared" si="89"/>
        <v>3157124.86</v>
      </c>
      <c r="O487" s="1161">
        <f t="shared" si="89"/>
        <v>21350559.840000004</v>
      </c>
      <c r="P487" s="1162">
        <f t="shared" si="89"/>
        <v>21161619.040000003</v>
      </c>
    </row>
    <row r="488" spans="1:16" ht="282" customHeight="1">
      <c r="A488" s="401" t="s">
        <v>494</v>
      </c>
      <c r="B488" s="402" t="s">
        <v>495</v>
      </c>
      <c r="C488" s="403" t="s">
        <v>687</v>
      </c>
      <c r="D488" s="404" t="s">
        <v>497</v>
      </c>
      <c r="E488" s="404" t="s">
        <v>188</v>
      </c>
      <c r="F488" s="405" t="s">
        <v>496</v>
      </c>
      <c r="G488" s="813" t="s">
        <v>1322</v>
      </c>
      <c r="H488" s="813" t="s">
        <v>1324</v>
      </c>
      <c r="I488" s="813" t="s">
        <v>1325</v>
      </c>
      <c r="J488" s="813" t="s">
        <v>1326</v>
      </c>
      <c r="K488" s="813" t="s">
        <v>1323</v>
      </c>
      <c r="L488" s="813" t="s">
        <v>1327</v>
      </c>
      <c r="M488" s="813" t="s">
        <v>1328</v>
      </c>
      <c r="N488" s="813" t="s">
        <v>1329</v>
      </c>
      <c r="O488" s="1278" t="s">
        <v>1321</v>
      </c>
      <c r="P488" s="1149" t="s">
        <v>1330</v>
      </c>
    </row>
    <row r="489" spans="1:16" ht="16.5" customHeight="1">
      <c r="A489" s="407">
        <v>0</v>
      </c>
      <c r="B489" s="408"/>
      <c r="C489" s="408"/>
      <c r="D489" s="409">
        <v>1</v>
      </c>
      <c r="E489" s="409">
        <v>2</v>
      </c>
      <c r="F489" s="682">
        <v>3</v>
      </c>
      <c r="G489" s="1150">
        <v>4</v>
      </c>
      <c r="H489" s="1150">
        <v>5</v>
      </c>
      <c r="I489" s="1150">
        <v>6</v>
      </c>
      <c r="J489" s="1150">
        <v>7</v>
      </c>
      <c r="K489" s="1150">
        <v>8</v>
      </c>
      <c r="L489" s="1150">
        <v>9</v>
      </c>
      <c r="M489" s="1150">
        <v>10</v>
      </c>
      <c r="N489" s="1150">
        <v>11</v>
      </c>
      <c r="O489" s="1150">
        <v>12</v>
      </c>
      <c r="P489" s="1151">
        <v>13</v>
      </c>
    </row>
    <row r="490" spans="1:16" ht="45.75" customHeight="1">
      <c r="A490" s="483" t="s">
        <v>395</v>
      </c>
      <c r="B490" s="484"/>
      <c r="C490" s="484"/>
      <c r="D490" s="447"/>
      <c r="E490" s="702"/>
      <c r="F490" s="492" t="s">
        <v>30</v>
      </c>
      <c r="G490" s="1215"/>
      <c r="H490" s="1215"/>
      <c r="I490" s="1215"/>
      <c r="J490" s="1215"/>
      <c r="K490" s="1215"/>
      <c r="L490" s="1215"/>
      <c r="M490" s="1215"/>
      <c r="N490" s="1215"/>
      <c r="O490" s="1215"/>
      <c r="P490" s="1216"/>
    </row>
    <row r="491" spans="1:16" ht="41.25" customHeight="1">
      <c r="A491" s="488" t="s">
        <v>395</v>
      </c>
      <c r="B491" s="489" t="s">
        <v>394</v>
      </c>
      <c r="C491" s="489"/>
      <c r="D491" s="420"/>
      <c r="E491" s="703"/>
      <c r="F491" s="492" t="s">
        <v>710</v>
      </c>
      <c r="G491" s="422"/>
      <c r="H491" s="422"/>
      <c r="I491" s="422"/>
      <c r="J491" s="422"/>
      <c r="K491" s="422"/>
      <c r="L491" s="422"/>
      <c r="M491" s="422"/>
      <c r="N491" s="422"/>
      <c r="O491" s="422"/>
      <c r="P491" s="1153"/>
    </row>
    <row r="492" spans="1:16" ht="35.25" customHeight="1">
      <c r="A492" s="424"/>
      <c r="B492" s="425"/>
      <c r="C492" s="425"/>
      <c r="D492" s="420"/>
      <c r="E492" s="426">
        <v>610000</v>
      </c>
      <c r="F492" s="534" t="s">
        <v>529</v>
      </c>
      <c r="G492" s="422"/>
      <c r="H492" s="422"/>
      <c r="I492" s="422"/>
      <c r="J492" s="422"/>
      <c r="K492" s="422"/>
      <c r="L492" s="422"/>
      <c r="M492" s="422"/>
      <c r="N492" s="422"/>
      <c r="O492" s="422"/>
      <c r="P492" s="1153"/>
    </row>
    <row r="493" spans="1:16" ht="46.5" customHeight="1">
      <c r="A493" s="428" t="s">
        <v>395</v>
      </c>
      <c r="B493" s="429" t="s">
        <v>394</v>
      </c>
      <c r="C493" s="430" t="s">
        <v>391</v>
      </c>
      <c r="D493" s="537">
        <v>161</v>
      </c>
      <c r="E493" s="538">
        <v>611100</v>
      </c>
      <c r="F493" s="626" t="s">
        <v>962</v>
      </c>
      <c r="G493" s="1154">
        <v>516500</v>
      </c>
      <c r="H493" s="1154"/>
      <c r="I493" s="1154"/>
      <c r="J493" s="1154">
        <f aca="true" t="shared" si="90" ref="J493:J506">G493+H493-I493</f>
        <v>516500</v>
      </c>
      <c r="K493" s="1154">
        <v>0</v>
      </c>
      <c r="L493" s="1154"/>
      <c r="M493" s="1154"/>
      <c r="N493" s="1154">
        <f aca="true" t="shared" si="91" ref="N493:N506">K493+L493-M493</f>
        <v>0</v>
      </c>
      <c r="O493" s="1154">
        <f aca="true" t="shared" si="92" ref="O493:O506">G493+K493</f>
        <v>516500</v>
      </c>
      <c r="P493" s="1155">
        <f aca="true" t="shared" si="93" ref="P493:P506">J493+N493</f>
        <v>516500</v>
      </c>
    </row>
    <row r="494" spans="1:16" ht="33" customHeight="1">
      <c r="A494" s="428" t="s">
        <v>395</v>
      </c>
      <c r="B494" s="429" t="s">
        <v>394</v>
      </c>
      <c r="C494" s="430" t="s">
        <v>391</v>
      </c>
      <c r="D494" s="537">
        <v>161</v>
      </c>
      <c r="E494" s="432">
        <v>611200</v>
      </c>
      <c r="F494" s="468" t="s">
        <v>514</v>
      </c>
      <c r="G494" s="1154">
        <v>115000</v>
      </c>
      <c r="H494" s="1154"/>
      <c r="I494" s="1154"/>
      <c r="J494" s="1154">
        <f t="shared" si="90"/>
        <v>115000</v>
      </c>
      <c r="K494" s="1154">
        <v>0</v>
      </c>
      <c r="L494" s="1154"/>
      <c r="M494" s="1154"/>
      <c r="N494" s="1154">
        <f t="shared" si="91"/>
        <v>0</v>
      </c>
      <c r="O494" s="1154">
        <f t="shared" si="92"/>
        <v>115000</v>
      </c>
      <c r="P494" s="1155">
        <f t="shared" si="93"/>
        <v>115000</v>
      </c>
    </row>
    <row r="495" spans="1:16" ht="36" customHeight="1">
      <c r="A495" s="428" t="s">
        <v>395</v>
      </c>
      <c r="B495" s="429" t="s">
        <v>394</v>
      </c>
      <c r="C495" s="430" t="s">
        <v>391</v>
      </c>
      <c r="D495" s="537">
        <v>161</v>
      </c>
      <c r="E495" s="435">
        <v>612000</v>
      </c>
      <c r="F495" s="468" t="s">
        <v>889</v>
      </c>
      <c r="G495" s="1154">
        <v>56000</v>
      </c>
      <c r="H495" s="1154"/>
      <c r="I495" s="1154"/>
      <c r="J495" s="1154">
        <f t="shared" si="90"/>
        <v>56000</v>
      </c>
      <c r="K495" s="1154">
        <v>0</v>
      </c>
      <c r="L495" s="1154"/>
      <c r="M495" s="1154"/>
      <c r="N495" s="1154">
        <f t="shared" si="91"/>
        <v>0</v>
      </c>
      <c r="O495" s="1154">
        <f t="shared" si="92"/>
        <v>56000</v>
      </c>
      <c r="P495" s="1155">
        <f t="shared" si="93"/>
        <v>56000</v>
      </c>
    </row>
    <row r="496" spans="1:16" ht="34.5" customHeight="1">
      <c r="A496" s="625" t="s">
        <v>395</v>
      </c>
      <c r="B496" s="595" t="s">
        <v>394</v>
      </c>
      <c r="C496" s="691" t="s">
        <v>391</v>
      </c>
      <c r="D496" s="889">
        <v>161</v>
      </c>
      <c r="E496" s="692">
        <v>613210</v>
      </c>
      <c r="F496" s="762" t="s">
        <v>624</v>
      </c>
      <c r="G496" s="1154">
        <v>100000</v>
      </c>
      <c r="H496" s="1154"/>
      <c r="I496" s="1154"/>
      <c r="J496" s="1154">
        <f t="shared" si="90"/>
        <v>100000</v>
      </c>
      <c r="K496" s="1154">
        <v>0</v>
      </c>
      <c r="L496" s="1154"/>
      <c r="M496" s="1154"/>
      <c r="N496" s="1154">
        <f t="shared" si="91"/>
        <v>0</v>
      </c>
      <c r="O496" s="1154">
        <f t="shared" si="92"/>
        <v>100000</v>
      </c>
      <c r="P496" s="1155">
        <f t="shared" si="93"/>
        <v>100000</v>
      </c>
    </row>
    <row r="497" spans="1:16" ht="36" customHeight="1">
      <c r="A497" s="625" t="s">
        <v>395</v>
      </c>
      <c r="B497" s="595" t="s">
        <v>394</v>
      </c>
      <c r="C497" s="691" t="s">
        <v>391</v>
      </c>
      <c r="D497" s="889">
        <v>161</v>
      </c>
      <c r="E497" s="692">
        <v>613310</v>
      </c>
      <c r="F497" s="762" t="s">
        <v>616</v>
      </c>
      <c r="G497" s="1154">
        <v>15000</v>
      </c>
      <c r="H497" s="1154"/>
      <c r="I497" s="1154"/>
      <c r="J497" s="1154">
        <f t="shared" si="90"/>
        <v>15000</v>
      </c>
      <c r="K497" s="1154">
        <v>0</v>
      </c>
      <c r="L497" s="1154"/>
      <c r="M497" s="1154"/>
      <c r="N497" s="1154">
        <f t="shared" si="91"/>
        <v>0</v>
      </c>
      <c r="O497" s="1154">
        <f t="shared" si="92"/>
        <v>15000</v>
      </c>
      <c r="P497" s="1155">
        <f t="shared" si="93"/>
        <v>15000</v>
      </c>
    </row>
    <row r="498" spans="1:16" ht="34.5" customHeight="1">
      <c r="A498" s="625" t="s">
        <v>395</v>
      </c>
      <c r="B498" s="595" t="s">
        <v>394</v>
      </c>
      <c r="C498" s="691" t="s">
        <v>391</v>
      </c>
      <c r="D498" s="889">
        <v>161</v>
      </c>
      <c r="E498" s="930">
        <v>613320</v>
      </c>
      <c r="F498" s="753" t="s">
        <v>500</v>
      </c>
      <c r="G498" s="1154">
        <v>15000</v>
      </c>
      <c r="H498" s="1154"/>
      <c r="I498" s="1154"/>
      <c r="J498" s="1154">
        <f t="shared" si="90"/>
        <v>15000</v>
      </c>
      <c r="K498" s="1154">
        <v>0</v>
      </c>
      <c r="L498" s="1154"/>
      <c r="M498" s="1154"/>
      <c r="N498" s="1154">
        <f t="shared" si="91"/>
        <v>0</v>
      </c>
      <c r="O498" s="1154">
        <f t="shared" si="92"/>
        <v>15000</v>
      </c>
      <c r="P498" s="1155">
        <f t="shared" si="93"/>
        <v>15000</v>
      </c>
    </row>
    <row r="499" spans="1:16" ht="36" customHeight="1">
      <c r="A499" s="625" t="s">
        <v>395</v>
      </c>
      <c r="B499" s="595" t="s">
        <v>394</v>
      </c>
      <c r="C499" s="691" t="s">
        <v>391</v>
      </c>
      <c r="D499" s="889">
        <v>161</v>
      </c>
      <c r="E499" s="930">
        <v>613400</v>
      </c>
      <c r="F499" s="753" t="s">
        <v>501</v>
      </c>
      <c r="G499" s="1154">
        <v>4000</v>
      </c>
      <c r="H499" s="1154"/>
      <c r="I499" s="1154"/>
      <c r="J499" s="1154">
        <f t="shared" si="90"/>
        <v>4000</v>
      </c>
      <c r="K499" s="1154">
        <v>0</v>
      </c>
      <c r="L499" s="1154"/>
      <c r="M499" s="1154"/>
      <c r="N499" s="1154">
        <f t="shared" si="91"/>
        <v>0</v>
      </c>
      <c r="O499" s="1154">
        <f t="shared" si="92"/>
        <v>4000</v>
      </c>
      <c r="P499" s="1155">
        <f t="shared" si="93"/>
        <v>4000</v>
      </c>
    </row>
    <row r="500" spans="1:16" ht="37.5" customHeight="1">
      <c r="A500" s="625" t="s">
        <v>395</v>
      </c>
      <c r="B500" s="595" t="s">
        <v>394</v>
      </c>
      <c r="C500" s="691" t="s">
        <v>391</v>
      </c>
      <c r="D500" s="889">
        <v>161</v>
      </c>
      <c r="E500" s="930">
        <v>613500</v>
      </c>
      <c r="F500" s="753" t="s">
        <v>609</v>
      </c>
      <c r="G500" s="1154">
        <v>1000</v>
      </c>
      <c r="H500" s="1154"/>
      <c r="I500" s="1154"/>
      <c r="J500" s="1154">
        <f t="shared" si="90"/>
        <v>1000</v>
      </c>
      <c r="K500" s="1154">
        <v>0</v>
      </c>
      <c r="L500" s="1154"/>
      <c r="M500" s="1154"/>
      <c r="N500" s="1154">
        <f t="shared" si="91"/>
        <v>0</v>
      </c>
      <c r="O500" s="1154">
        <f t="shared" si="92"/>
        <v>1000</v>
      </c>
      <c r="P500" s="1155">
        <f t="shared" si="93"/>
        <v>1000</v>
      </c>
    </row>
    <row r="501" spans="1:16" s="651" customFormat="1" ht="37.5" customHeight="1">
      <c r="A501" s="625" t="s">
        <v>395</v>
      </c>
      <c r="B501" s="595" t="s">
        <v>394</v>
      </c>
      <c r="C501" s="691" t="s">
        <v>391</v>
      </c>
      <c r="D501" s="889">
        <v>161</v>
      </c>
      <c r="E501" s="930">
        <v>613611</v>
      </c>
      <c r="F501" s="753" t="s">
        <v>288</v>
      </c>
      <c r="G501" s="1154">
        <v>15000</v>
      </c>
      <c r="H501" s="1154"/>
      <c r="I501" s="1154"/>
      <c r="J501" s="1154">
        <f t="shared" si="90"/>
        <v>15000</v>
      </c>
      <c r="K501" s="1154">
        <v>0</v>
      </c>
      <c r="L501" s="1154"/>
      <c r="M501" s="1154"/>
      <c r="N501" s="1154">
        <f t="shared" si="91"/>
        <v>0</v>
      </c>
      <c r="O501" s="1154">
        <f t="shared" si="92"/>
        <v>15000</v>
      </c>
      <c r="P501" s="1155">
        <f t="shared" si="93"/>
        <v>15000</v>
      </c>
    </row>
    <row r="502" spans="1:16" ht="34.5" customHeight="1">
      <c r="A502" s="625" t="s">
        <v>395</v>
      </c>
      <c r="B502" s="595" t="s">
        <v>394</v>
      </c>
      <c r="C502" s="691" t="s">
        <v>391</v>
      </c>
      <c r="D502" s="889">
        <v>161</v>
      </c>
      <c r="E502" s="930" t="s">
        <v>202</v>
      </c>
      <c r="F502" s="753" t="s">
        <v>680</v>
      </c>
      <c r="G502" s="1154">
        <v>60000</v>
      </c>
      <c r="H502" s="1154"/>
      <c r="I502" s="1154"/>
      <c r="J502" s="1154">
        <f t="shared" si="90"/>
        <v>60000</v>
      </c>
      <c r="K502" s="1154">
        <v>0</v>
      </c>
      <c r="L502" s="1154"/>
      <c r="M502" s="1154"/>
      <c r="N502" s="1154">
        <f t="shared" si="91"/>
        <v>0</v>
      </c>
      <c r="O502" s="1154">
        <f t="shared" si="92"/>
        <v>60000</v>
      </c>
      <c r="P502" s="1155">
        <f t="shared" si="93"/>
        <v>60000</v>
      </c>
    </row>
    <row r="503" spans="1:16" ht="37.5" customHeight="1">
      <c r="A503" s="625" t="s">
        <v>395</v>
      </c>
      <c r="B503" s="595" t="s">
        <v>394</v>
      </c>
      <c r="C503" s="691" t="s">
        <v>391</v>
      </c>
      <c r="D503" s="889">
        <v>161</v>
      </c>
      <c r="E503" s="930">
        <v>613910</v>
      </c>
      <c r="F503" s="753" t="s">
        <v>502</v>
      </c>
      <c r="G503" s="1154">
        <v>5000</v>
      </c>
      <c r="H503" s="1154"/>
      <c r="I503" s="1154"/>
      <c r="J503" s="1154">
        <f t="shared" si="90"/>
        <v>5000</v>
      </c>
      <c r="K503" s="1154">
        <v>0</v>
      </c>
      <c r="L503" s="1154"/>
      <c r="M503" s="1154"/>
      <c r="N503" s="1154">
        <f t="shared" si="91"/>
        <v>0</v>
      </c>
      <c r="O503" s="1154">
        <f t="shared" si="92"/>
        <v>5000</v>
      </c>
      <c r="P503" s="1155">
        <f t="shared" si="93"/>
        <v>5000</v>
      </c>
    </row>
    <row r="504" spans="1:16" ht="34.5" customHeight="1">
      <c r="A504" s="625" t="s">
        <v>395</v>
      </c>
      <c r="B504" s="595" t="s">
        <v>394</v>
      </c>
      <c r="C504" s="691" t="s">
        <v>391</v>
      </c>
      <c r="D504" s="889">
        <v>161</v>
      </c>
      <c r="E504" s="910" t="s">
        <v>200</v>
      </c>
      <c r="F504" s="762" t="s">
        <v>201</v>
      </c>
      <c r="G504" s="1154">
        <v>490000</v>
      </c>
      <c r="H504" s="1154"/>
      <c r="I504" s="1154"/>
      <c r="J504" s="1154">
        <f t="shared" si="90"/>
        <v>490000</v>
      </c>
      <c r="K504" s="1154">
        <v>0</v>
      </c>
      <c r="L504" s="1154"/>
      <c r="M504" s="1154"/>
      <c r="N504" s="1154">
        <f t="shared" si="91"/>
        <v>0</v>
      </c>
      <c r="O504" s="1154">
        <f t="shared" si="92"/>
        <v>490000</v>
      </c>
      <c r="P504" s="1155">
        <f t="shared" si="93"/>
        <v>490000</v>
      </c>
    </row>
    <row r="505" spans="1:16" ht="34.5" customHeight="1">
      <c r="A505" s="625" t="s">
        <v>395</v>
      </c>
      <c r="B505" s="595" t="s">
        <v>394</v>
      </c>
      <c r="C505" s="691" t="s">
        <v>391</v>
      </c>
      <c r="D505" s="889">
        <v>161</v>
      </c>
      <c r="E505" s="910" t="s">
        <v>621</v>
      </c>
      <c r="F505" s="753" t="s">
        <v>517</v>
      </c>
      <c r="G505" s="1154">
        <v>1000</v>
      </c>
      <c r="H505" s="1154"/>
      <c r="I505" s="1154"/>
      <c r="J505" s="1154">
        <f t="shared" si="90"/>
        <v>1000</v>
      </c>
      <c r="K505" s="1154">
        <v>0</v>
      </c>
      <c r="L505" s="1154"/>
      <c r="M505" s="1154"/>
      <c r="N505" s="1154">
        <f t="shared" si="91"/>
        <v>0</v>
      </c>
      <c r="O505" s="1154">
        <f t="shared" si="92"/>
        <v>1000</v>
      </c>
      <c r="P505" s="1155">
        <f t="shared" si="93"/>
        <v>1000</v>
      </c>
    </row>
    <row r="506" spans="1:16" ht="36" customHeight="1">
      <c r="A506" s="629" t="s">
        <v>395</v>
      </c>
      <c r="B506" s="630" t="s">
        <v>394</v>
      </c>
      <c r="C506" s="630" t="s">
        <v>391</v>
      </c>
      <c r="D506" s="889">
        <v>161</v>
      </c>
      <c r="E506" s="910">
        <v>613997</v>
      </c>
      <c r="F506" s="907" t="s">
        <v>189</v>
      </c>
      <c r="G506" s="1154">
        <v>10000</v>
      </c>
      <c r="H506" s="1154"/>
      <c r="I506" s="1154"/>
      <c r="J506" s="1154">
        <f t="shared" si="90"/>
        <v>10000</v>
      </c>
      <c r="K506" s="1154">
        <v>0</v>
      </c>
      <c r="L506" s="1154"/>
      <c r="M506" s="1154"/>
      <c r="N506" s="1154">
        <f t="shared" si="91"/>
        <v>0</v>
      </c>
      <c r="O506" s="1154">
        <f t="shared" si="92"/>
        <v>10000</v>
      </c>
      <c r="P506" s="1155">
        <f t="shared" si="93"/>
        <v>10000</v>
      </c>
    </row>
    <row r="507" spans="1:16" ht="49.5" customHeight="1">
      <c r="A507" s="881"/>
      <c r="B507" s="882"/>
      <c r="C507" s="914"/>
      <c r="D507" s="915"/>
      <c r="E507" s="635">
        <v>820000</v>
      </c>
      <c r="F507" s="879" t="s">
        <v>654</v>
      </c>
      <c r="G507" s="1181"/>
      <c r="H507" s="1181"/>
      <c r="I507" s="1181"/>
      <c r="J507" s="1181"/>
      <c r="K507" s="1181"/>
      <c r="L507" s="1181"/>
      <c r="M507" s="1181"/>
      <c r="N507" s="1181"/>
      <c r="O507" s="1181"/>
      <c r="P507" s="1203"/>
    </row>
    <row r="508" spans="1:16" ht="36" customHeight="1">
      <c r="A508" s="625" t="s">
        <v>395</v>
      </c>
      <c r="B508" s="595" t="s">
        <v>394</v>
      </c>
      <c r="C508" s="691" t="s">
        <v>391</v>
      </c>
      <c r="D508" s="889">
        <v>161</v>
      </c>
      <c r="E508" s="596" t="s">
        <v>1016</v>
      </c>
      <c r="F508" s="592" t="s">
        <v>1015</v>
      </c>
      <c r="G508" s="1154">
        <v>0</v>
      </c>
      <c r="H508" s="1154"/>
      <c r="I508" s="1154"/>
      <c r="J508" s="1154">
        <f>G508+H508-I508</f>
        <v>0</v>
      </c>
      <c r="K508" s="1154">
        <v>0</v>
      </c>
      <c r="L508" s="1154"/>
      <c r="M508" s="1154"/>
      <c r="N508" s="1154">
        <f>K508+L508-M508</f>
        <v>0</v>
      </c>
      <c r="O508" s="1154">
        <f>G508+K508</f>
        <v>0</v>
      </c>
      <c r="P508" s="1155">
        <f>J508+N508</f>
        <v>0</v>
      </c>
    </row>
    <row r="509" spans="1:16" ht="36" customHeight="1">
      <c r="A509" s="1344" t="s">
        <v>395</v>
      </c>
      <c r="B509" s="1345" t="s">
        <v>394</v>
      </c>
      <c r="C509" s="1346" t="s">
        <v>391</v>
      </c>
      <c r="D509" s="1347">
        <v>161</v>
      </c>
      <c r="E509" s="1348">
        <v>821300</v>
      </c>
      <c r="F509" s="1349" t="s">
        <v>694</v>
      </c>
      <c r="G509" s="1350">
        <v>5000</v>
      </c>
      <c r="H509" s="1350"/>
      <c r="I509" s="1350">
        <v>5000</v>
      </c>
      <c r="J509" s="1315">
        <f>G509+H509-I509</f>
        <v>0</v>
      </c>
      <c r="K509" s="1350">
        <v>0</v>
      </c>
      <c r="L509" s="1350"/>
      <c r="M509" s="1350"/>
      <c r="N509" s="1315">
        <f>K509+L509-M509</f>
        <v>0</v>
      </c>
      <c r="O509" s="1350">
        <f>G509+K509</f>
        <v>5000</v>
      </c>
      <c r="P509" s="1316">
        <f>J509+N509</f>
        <v>0</v>
      </c>
    </row>
    <row r="510" spans="1:16" ht="36" customHeight="1">
      <c r="A510" s="629" t="s">
        <v>395</v>
      </c>
      <c r="B510" s="630" t="s">
        <v>394</v>
      </c>
      <c r="C510" s="920" t="s">
        <v>391</v>
      </c>
      <c r="D510" s="921">
        <v>161</v>
      </c>
      <c r="E510" s="464" t="s">
        <v>1122</v>
      </c>
      <c r="F510" s="578" t="s">
        <v>1123</v>
      </c>
      <c r="G510" s="1182">
        <v>0</v>
      </c>
      <c r="H510" s="1182"/>
      <c r="I510" s="1182"/>
      <c r="J510" s="1154">
        <f>G510+H510-I510</f>
        <v>0</v>
      </c>
      <c r="K510" s="1182">
        <v>11556</v>
      </c>
      <c r="L510" s="1182"/>
      <c r="M510" s="1182"/>
      <c r="N510" s="1154">
        <f>K510+L510-M510</f>
        <v>11556</v>
      </c>
      <c r="O510" s="1182">
        <f>G510+K510</f>
        <v>11556</v>
      </c>
      <c r="P510" s="1155">
        <f>J510+N510</f>
        <v>11556</v>
      </c>
    </row>
    <row r="511" spans="1:25" s="423" customFormat="1" ht="43.5" customHeight="1" thickBot="1">
      <c r="A511" s="539"/>
      <c r="B511" s="540"/>
      <c r="C511" s="705"/>
      <c r="D511" s="453"/>
      <c r="E511" s="706"/>
      <c r="F511" s="515" t="s">
        <v>681</v>
      </c>
      <c r="G511" s="1160">
        <f aca="true" t="shared" si="94" ref="G511:P511">SUM(G493:G510)</f>
        <v>1408500</v>
      </c>
      <c r="H511" s="1160">
        <f t="shared" si="94"/>
        <v>0</v>
      </c>
      <c r="I511" s="1160">
        <f t="shared" si="94"/>
        <v>5000</v>
      </c>
      <c r="J511" s="1160">
        <f t="shared" si="94"/>
        <v>1403500</v>
      </c>
      <c r="K511" s="1160">
        <f t="shared" si="94"/>
        <v>11556</v>
      </c>
      <c r="L511" s="1160">
        <f t="shared" si="94"/>
        <v>0</v>
      </c>
      <c r="M511" s="1160">
        <f t="shared" si="94"/>
        <v>0</v>
      </c>
      <c r="N511" s="1160">
        <f t="shared" si="94"/>
        <v>11556</v>
      </c>
      <c r="O511" s="1161">
        <f t="shared" si="94"/>
        <v>1420056</v>
      </c>
      <c r="P511" s="1162">
        <f t="shared" si="94"/>
        <v>1415056</v>
      </c>
      <c r="Q511" s="378"/>
      <c r="R511" s="378"/>
      <c r="S511" s="378"/>
      <c r="T511" s="378"/>
      <c r="U511" s="378"/>
      <c r="V511" s="378"/>
      <c r="W511" s="378"/>
      <c r="X511" s="378"/>
      <c r="Y511" s="378"/>
    </row>
    <row r="512" spans="1:16" ht="43.5" customHeight="1">
      <c r="A512" s="552"/>
      <c r="B512" s="553"/>
      <c r="C512" s="707"/>
      <c r="D512" s="420"/>
      <c r="E512" s="708"/>
      <c r="F512" s="518" t="s">
        <v>1142</v>
      </c>
      <c r="G512" s="1175"/>
      <c r="H512" s="1175"/>
      <c r="I512" s="1175"/>
      <c r="J512" s="1175"/>
      <c r="K512" s="1175"/>
      <c r="L512" s="1175"/>
      <c r="M512" s="1175"/>
      <c r="N512" s="1175"/>
      <c r="O512" s="1175"/>
      <c r="P512" s="1176"/>
    </row>
    <row r="513" spans="1:16" ht="43.5" customHeight="1">
      <c r="A513" s="586"/>
      <c r="B513" s="587"/>
      <c r="C513" s="709"/>
      <c r="D513" s="565"/>
      <c r="E513" s="710"/>
      <c r="F513" s="473" t="s">
        <v>1076</v>
      </c>
      <c r="G513" s="1177"/>
      <c r="H513" s="1177"/>
      <c r="I513" s="1177"/>
      <c r="J513" s="1177"/>
      <c r="K513" s="1177"/>
      <c r="L513" s="1177"/>
      <c r="M513" s="1177"/>
      <c r="N513" s="1177"/>
      <c r="O513" s="1177">
        <v>28</v>
      </c>
      <c r="P513" s="1178"/>
    </row>
    <row r="514" spans="1:25" s="711" customFormat="1" ht="45.75" customHeight="1" thickBot="1">
      <c r="A514" s="539"/>
      <c r="B514" s="540"/>
      <c r="C514" s="705"/>
      <c r="D514" s="639"/>
      <c r="E514" s="706"/>
      <c r="F514" s="515" t="s">
        <v>834</v>
      </c>
      <c r="G514" s="1179"/>
      <c r="H514" s="1179"/>
      <c r="I514" s="1179"/>
      <c r="J514" s="1179"/>
      <c r="K514" s="1179"/>
      <c r="L514" s="1179"/>
      <c r="M514" s="1179"/>
      <c r="N514" s="1179"/>
      <c r="O514" s="1179">
        <v>29</v>
      </c>
      <c r="P514" s="1180"/>
      <c r="Q514" s="378"/>
      <c r="R514" s="378"/>
      <c r="S514" s="378"/>
      <c r="T514" s="378"/>
      <c r="U514" s="378"/>
      <c r="V514" s="378"/>
      <c r="W514" s="378"/>
      <c r="X514" s="378"/>
      <c r="Y514" s="378"/>
    </row>
    <row r="515" spans="1:25" s="650" customFormat="1" ht="280.5" customHeight="1">
      <c r="A515" s="607" t="s">
        <v>494</v>
      </c>
      <c r="B515" s="608" t="s">
        <v>495</v>
      </c>
      <c r="C515" s="609" t="s">
        <v>677</v>
      </c>
      <c r="D515" s="404" t="s">
        <v>497</v>
      </c>
      <c r="E515" s="404" t="s">
        <v>188</v>
      </c>
      <c r="F515" s="405" t="s">
        <v>496</v>
      </c>
      <c r="G515" s="813" t="s">
        <v>1322</v>
      </c>
      <c r="H515" s="813" t="s">
        <v>1324</v>
      </c>
      <c r="I515" s="813" t="s">
        <v>1325</v>
      </c>
      <c r="J515" s="813" t="s">
        <v>1326</v>
      </c>
      <c r="K515" s="813" t="s">
        <v>1323</v>
      </c>
      <c r="L515" s="813" t="s">
        <v>1327</v>
      </c>
      <c r="M515" s="813" t="s">
        <v>1328</v>
      </c>
      <c r="N515" s="813" t="s">
        <v>1329</v>
      </c>
      <c r="O515" s="1278" t="s">
        <v>1321</v>
      </c>
      <c r="P515" s="1149" t="s">
        <v>1330</v>
      </c>
      <c r="Q515" s="651"/>
      <c r="R515" s="651"/>
      <c r="S515" s="651"/>
      <c r="T515" s="651"/>
      <c r="U515" s="651"/>
      <c r="V515" s="651"/>
      <c r="W515" s="651"/>
      <c r="X515" s="651"/>
      <c r="Y515" s="651"/>
    </row>
    <row r="516" spans="1:16" s="651" customFormat="1" ht="24" customHeight="1">
      <c r="A516" s="712">
        <v>0</v>
      </c>
      <c r="B516" s="713"/>
      <c r="C516" s="713"/>
      <c r="D516" s="409">
        <v>1</v>
      </c>
      <c r="E516" s="409">
        <v>2</v>
      </c>
      <c r="F516" s="682">
        <v>3</v>
      </c>
      <c r="G516" s="1150">
        <v>4</v>
      </c>
      <c r="H516" s="1150">
        <v>5</v>
      </c>
      <c r="I516" s="1150">
        <v>6</v>
      </c>
      <c r="J516" s="1150">
        <v>7</v>
      </c>
      <c r="K516" s="1150">
        <v>8</v>
      </c>
      <c r="L516" s="1150">
        <v>9</v>
      </c>
      <c r="M516" s="1150">
        <v>10</v>
      </c>
      <c r="N516" s="1150">
        <v>11</v>
      </c>
      <c r="O516" s="1150">
        <v>12</v>
      </c>
      <c r="P516" s="1151">
        <v>13</v>
      </c>
    </row>
    <row r="517" spans="1:16" s="651" customFormat="1" ht="79.5" customHeight="1">
      <c r="A517" s="612" t="s">
        <v>395</v>
      </c>
      <c r="B517" s="613"/>
      <c r="C517" s="613"/>
      <c r="D517" s="447"/>
      <c r="E517" s="702"/>
      <c r="F517" s="492" t="s">
        <v>691</v>
      </c>
      <c r="G517" s="1215"/>
      <c r="H517" s="1215"/>
      <c r="I517" s="1215"/>
      <c r="J517" s="1215"/>
      <c r="K517" s="1215"/>
      <c r="L517" s="1215"/>
      <c r="M517" s="1215"/>
      <c r="N517" s="1215"/>
      <c r="O517" s="1215"/>
      <c r="P517" s="1216"/>
    </row>
    <row r="518" spans="1:16" s="651" customFormat="1" ht="79.5" customHeight="1">
      <c r="A518" s="616" t="s">
        <v>395</v>
      </c>
      <c r="B518" s="617" t="s">
        <v>395</v>
      </c>
      <c r="C518" s="617"/>
      <c r="D518" s="420"/>
      <c r="E518" s="703"/>
      <c r="F518" s="492" t="s">
        <v>1116</v>
      </c>
      <c r="G518" s="422"/>
      <c r="H518" s="422"/>
      <c r="I518" s="422"/>
      <c r="J518" s="422"/>
      <c r="K518" s="422"/>
      <c r="L518" s="422"/>
      <c r="M518" s="422"/>
      <c r="N518" s="422"/>
      <c r="O518" s="422"/>
      <c r="P518" s="1153"/>
    </row>
    <row r="519" spans="1:16" s="651" customFormat="1" ht="58.5" customHeight="1">
      <c r="A519" s="620"/>
      <c r="B519" s="621"/>
      <c r="C519" s="621"/>
      <c r="D519" s="420"/>
      <c r="E519" s="426">
        <v>610000</v>
      </c>
      <c r="F519" s="534" t="s">
        <v>529</v>
      </c>
      <c r="G519" s="422"/>
      <c r="H519" s="422"/>
      <c r="I519" s="422"/>
      <c r="J519" s="422"/>
      <c r="K519" s="422"/>
      <c r="L519" s="422"/>
      <c r="M519" s="422"/>
      <c r="N519" s="422"/>
      <c r="O519" s="422"/>
      <c r="P519" s="1153"/>
    </row>
    <row r="520" spans="1:16" s="651" customFormat="1" ht="49.5" customHeight="1">
      <c r="A520" s="1311" t="s">
        <v>395</v>
      </c>
      <c r="B520" s="1312" t="s">
        <v>395</v>
      </c>
      <c r="C520" s="1336" t="s">
        <v>391</v>
      </c>
      <c r="D520" s="1352">
        <v>662</v>
      </c>
      <c r="E520" s="1385" t="s">
        <v>190</v>
      </c>
      <c r="F520" s="1386" t="s">
        <v>115</v>
      </c>
      <c r="G520" s="1417">
        <v>0</v>
      </c>
      <c r="H520" s="1417">
        <v>500000</v>
      </c>
      <c r="I520" s="1417"/>
      <c r="J520" s="1418">
        <f aca="true" t="shared" si="95" ref="J520:J531">G520+H520-I520</f>
        <v>500000</v>
      </c>
      <c r="K520" s="1417">
        <v>0</v>
      </c>
      <c r="L520" s="1417"/>
      <c r="M520" s="1417"/>
      <c r="N520" s="1303">
        <f aca="true" t="shared" si="96" ref="N520:N525">K520+L520-M520</f>
        <v>0</v>
      </c>
      <c r="O520" s="1418">
        <f aca="true" t="shared" si="97" ref="O520:O525">G520+K520</f>
        <v>0</v>
      </c>
      <c r="P520" s="1419">
        <f aca="true" t="shared" si="98" ref="P520:P525">J520+N520</f>
        <v>500000</v>
      </c>
    </row>
    <row r="521" spans="1:16" s="651" customFormat="1" ht="43.5" customHeight="1">
      <c r="A521" s="1311" t="s">
        <v>395</v>
      </c>
      <c r="B521" s="1312" t="s">
        <v>395</v>
      </c>
      <c r="C521" s="1336" t="s">
        <v>391</v>
      </c>
      <c r="D521" s="1352">
        <v>662</v>
      </c>
      <c r="E521" s="1317" t="s">
        <v>191</v>
      </c>
      <c r="F521" s="1383" t="s">
        <v>116</v>
      </c>
      <c r="G521" s="1420">
        <v>0</v>
      </c>
      <c r="H521" s="1420">
        <v>400000</v>
      </c>
      <c r="I521" s="1420"/>
      <c r="J521" s="1418">
        <f t="shared" si="95"/>
        <v>400000</v>
      </c>
      <c r="K521" s="1420">
        <v>0</v>
      </c>
      <c r="L521" s="1420"/>
      <c r="M521" s="1420"/>
      <c r="N521" s="1303">
        <f t="shared" si="96"/>
        <v>0</v>
      </c>
      <c r="O521" s="1418">
        <f t="shared" si="97"/>
        <v>0</v>
      </c>
      <c r="P521" s="1419">
        <f t="shared" si="98"/>
        <v>400000</v>
      </c>
    </row>
    <row r="522" spans="1:16" s="651" customFormat="1" ht="43.5" customHeight="1">
      <c r="A522" s="1311" t="s">
        <v>395</v>
      </c>
      <c r="B522" s="1312" t="s">
        <v>395</v>
      </c>
      <c r="C522" s="1336" t="s">
        <v>391</v>
      </c>
      <c r="D522" s="1352">
        <v>662</v>
      </c>
      <c r="E522" s="1313" t="s">
        <v>192</v>
      </c>
      <c r="F522" s="1340" t="s">
        <v>118</v>
      </c>
      <c r="G522" s="1418">
        <v>0</v>
      </c>
      <c r="H522" s="1418">
        <v>180000</v>
      </c>
      <c r="I522" s="1418"/>
      <c r="J522" s="1418">
        <f t="shared" si="95"/>
        <v>180000</v>
      </c>
      <c r="K522" s="1418">
        <v>0</v>
      </c>
      <c r="L522" s="1418"/>
      <c r="M522" s="1418"/>
      <c r="N522" s="1303">
        <f t="shared" si="96"/>
        <v>0</v>
      </c>
      <c r="O522" s="1303">
        <f t="shared" si="97"/>
        <v>0</v>
      </c>
      <c r="P522" s="1304">
        <f t="shared" si="98"/>
        <v>180000</v>
      </c>
    </row>
    <row r="523" spans="1:16" s="651" customFormat="1" ht="43.5" customHeight="1">
      <c r="A523" s="1311" t="s">
        <v>395</v>
      </c>
      <c r="B523" s="1312" t="s">
        <v>395</v>
      </c>
      <c r="C523" s="1336" t="s">
        <v>391</v>
      </c>
      <c r="D523" s="1352">
        <v>662</v>
      </c>
      <c r="E523" s="1313" t="s">
        <v>193</v>
      </c>
      <c r="F523" s="1340" t="s">
        <v>1400</v>
      </c>
      <c r="G523" s="1418">
        <v>0</v>
      </c>
      <c r="H523" s="1418">
        <v>930000</v>
      </c>
      <c r="I523" s="1418"/>
      <c r="J523" s="1418">
        <f t="shared" si="95"/>
        <v>930000</v>
      </c>
      <c r="K523" s="1418">
        <v>0</v>
      </c>
      <c r="L523" s="1418"/>
      <c r="M523" s="1418"/>
      <c r="N523" s="1303">
        <f>K523+L523-M523</f>
        <v>0</v>
      </c>
      <c r="O523" s="1303">
        <f t="shared" si="97"/>
        <v>0</v>
      </c>
      <c r="P523" s="1304">
        <f t="shared" si="98"/>
        <v>930000</v>
      </c>
    </row>
    <row r="524" spans="1:16" s="651" customFormat="1" ht="39" customHeight="1">
      <c r="A524" s="1311" t="s">
        <v>395</v>
      </c>
      <c r="B524" s="1312" t="s">
        <v>395</v>
      </c>
      <c r="C524" s="1336" t="s">
        <v>391</v>
      </c>
      <c r="D524" s="1352">
        <v>662</v>
      </c>
      <c r="E524" s="1313" t="s">
        <v>195</v>
      </c>
      <c r="F524" s="1340" t="s">
        <v>1397</v>
      </c>
      <c r="G524" s="1418">
        <v>0</v>
      </c>
      <c r="H524" s="1418">
        <v>120000</v>
      </c>
      <c r="I524" s="1418"/>
      <c r="J524" s="1418">
        <f t="shared" si="95"/>
        <v>120000</v>
      </c>
      <c r="K524" s="1418">
        <v>0</v>
      </c>
      <c r="L524" s="1418"/>
      <c r="M524" s="1418"/>
      <c r="N524" s="1303">
        <f t="shared" si="96"/>
        <v>0</v>
      </c>
      <c r="O524" s="1418">
        <f t="shared" si="97"/>
        <v>0</v>
      </c>
      <c r="P524" s="1419">
        <f t="shared" si="98"/>
        <v>120000</v>
      </c>
    </row>
    <row r="525" spans="1:16" s="651" customFormat="1" ht="39" customHeight="1">
      <c r="A525" s="1311" t="s">
        <v>395</v>
      </c>
      <c r="B525" s="1312" t="s">
        <v>395</v>
      </c>
      <c r="C525" s="1336" t="s">
        <v>391</v>
      </c>
      <c r="D525" s="1352">
        <v>641</v>
      </c>
      <c r="E525" s="1313">
        <v>613726</v>
      </c>
      <c r="F525" s="1340" t="s">
        <v>1401</v>
      </c>
      <c r="G525" s="1418">
        <v>0</v>
      </c>
      <c r="H525" s="1418">
        <v>400000</v>
      </c>
      <c r="I525" s="1418"/>
      <c r="J525" s="1418">
        <f t="shared" si="95"/>
        <v>400000</v>
      </c>
      <c r="K525" s="1418">
        <v>0</v>
      </c>
      <c r="L525" s="1418"/>
      <c r="M525" s="1418"/>
      <c r="N525" s="1303">
        <f t="shared" si="96"/>
        <v>0</v>
      </c>
      <c r="O525" s="1418">
        <f t="shared" si="97"/>
        <v>0</v>
      </c>
      <c r="P525" s="1419">
        <f t="shared" si="98"/>
        <v>400000</v>
      </c>
    </row>
    <row r="526" spans="1:16" s="651" customFormat="1" ht="72" customHeight="1">
      <c r="A526" s="570" t="s">
        <v>395</v>
      </c>
      <c r="B526" s="571" t="s">
        <v>395</v>
      </c>
      <c r="C526" s="572" t="s">
        <v>391</v>
      </c>
      <c r="D526" s="904">
        <v>662</v>
      </c>
      <c r="E526" s="829" t="s">
        <v>202</v>
      </c>
      <c r="F526" s="591" t="s">
        <v>900</v>
      </c>
      <c r="G526" s="1156">
        <v>20000</v>
      </c>
      <c r="H526" s="1156"/>
      <c r="I526" s="1156"/>
      <c r="J526" s="1156">
        <f t="shared" si="95"/>
        <v>20000</v>
      </c>
      <c r="K526" s="1156">
        <v>0</v>
      </c>
      <c r="L526" s="1156"/>
      <c r="M526" s="1156"/>
      <c r="N526" s="1156">
        <f aca="true" t="shared" si="99" ref="N526:N542">K526+L526-M526</f>
        <v>0</v>
      </c>
      <c r="O526" s="1156">
        <f aca="true" t="shared" si="100" ref="O526:O531">G526+K526</f>
        <v>20000</v>
      </c>
      <c r="P526" s="1157">
        <f aca="true" t="shared" si="101" ref="P526:P531">J526+N526</f>
        <v>20000</v>
      </c>
    </row>
    <row r="527" spans="1:16" s="651" customFormat="1" ht="36" customHeight="1">
      <c r="A527" s="625" t="s">
        <v>395</v>
      </c>
      <c r="B527" s="595" t="s">
        <v>395</v>
      </c>
      <c r="C527" s="691" t="s">
        <v>391</v>
      </c>
      <c r="D527" s="889">
        <v>662</v>
      </c>
      <c r="E527" s="692" t="s">
        <v>815</v>
      </c>
      <c r="F527" s="903" t="s">
        <v>814</v>
      </c>
      <c r="G527" s="1154">
        <v>98766.42</v>
      </c>
      <c r="H527" s="1154"/>
      <c r="I527" s="1154"/>
      <c r="J527" s="1154">
        <f t="shared" si="95"/>
        <v>98766.42</v>
      </c>
      <c r="K527" s="1154">
        <v>0</v>
      </c>
      <c r="L527" s="1154"/>
      <c r="M527" s="1154"/>
      <c r="N527" s="1154">
        <f t="shared" si="99"/>
        <v>0</v>
      </c>
      <c r="O527" s="1154">
        <f t="shared" si="100"/>
        <v>98766.42</v>
      </c>
      <c r="P527" s="1155">
        <f t="shared" si="101"/>
        <v>98766.42</v>
      </c>
    </row>
    <row r="528" spans="1:16" s="651" customFormat="1" ht="54" customHeight="1">
      <c r="A528" s="625" t="s">
        <v>395</v>
      </c>
      <c r="B528" s="595" t="s">
        <v>395</v>
      </c>
      <c r="C528" s="691" t="s">
        <v>391</v>
      </c>
      <c r="D528" s="889">
        <v>531</v>
      </c>
      <c r="E528" s="692" t="s">
        <v>1206</v>
      </c>
      <c r="F528" s="903" t="s">
        <v>1210</v>
      </c>
      <c r="G528" s="1156">
        <v>25000</v>
      </c>
      <c r="H528" s="1156"/>
      <c r="I528" s="1156"/>
      <c r="J528" s="1156">
        <f t="shared" si="95"/>
        <v>25000</v>
      </c>
      <c r="K528" s="1156">
        <v>0</v>
      </c>
      <c r="L528" s="1156"/>
      <c r="M528" s="1156"/>
      <c r="N528" s="1156">
        <f t="shared" si="99"/>
        <v>0</v>
      </c>
      <c r="O528" s="1156">
        <f t="shared" si="100"/>
        <v>25000</v>
      </c>
      <c r="P528" s="1157">
        <f t="shared" si="101"/>
        <v>25000</v>
      </c>
    </row>
    <row r="529" spans="1:16" s="651" customFormat="1" ht="54" customHeight="1">
      <c r="A529" s="625" t="s">
        <v>395</v>
      </c>
      <c r="B529" s="595" t="s">
        <v>395</v>
      </c>
      <c r="C529" s="691" t="s">
        <v>391</v>
      </c>
      <c r="D529" s="889">
        <v>531</v>
      </c>
      <c r="E529" s="692" t="s">
        <v>912</v>
      </c>
      <c r="F529" s="903" t="s">
        <v>1025</v>
      </c>
      <c r="G529" s="1156">
        <v>400000</v>
      </c>
      <c r="H529" s="1156"/>
      <c r="I529" s="1156"/>
      <c r="J529" s="1156">
        <f t="shared" si="95"/>
        <v>400000</v>
      </c>
      <c r="K529" s="1156">
        <v>0</v>
      </c>
      <c r="L529" s="1156"/>
      <c r="M529" s="1156"/>
      <c r="N529" s="1156">
        <f t="shared" si="99"/>
        <v>0</v>
      </c>
      <c r="O529" s="1156">
        <f t="shared" si="100"/>
        <v>400000</v>
      </c>
      <c r="P529" s="1157">
        <f t="shared" si="101"/>
        <v>400000</v>
      </c>
    </row>
    <row r="530" spans="1:16" s="651" customFormat="1" ht="39" customHeight="1">
      <c r="A530" s="625" t="s">
        <v>395</v>
      </c>
      <c r="B530" s="595" t="s">
        <v>395</v>
      </c>
      <c r="C530" s="691" t="s">
        <v>391</v>
      </c>
      <c r="D530" s="889">
        <v>531</v>
      </c>
      <c r="E530" s="930" t="s">
        <v>965</v>
      </c>
      <c r="F530" s="714" t="s">
        <v>958</v>
      </c>
      <c r="G530" s="1154">
        <v>615000</v>
      </c>
      <c r="H530" s="1154"/>
      <c r="I530" s="1154"/>
      <c r="J530" s="1154">
        <f t="shared" si="95"/>
        <v>615000</v>
      </c>
      <c r="K530" s="1182">
        <v>0</v>
      </c>
      <c r="L530" s="1154"/>
      <c r="M530" s="1154"/>
      <c r="N530" s="1154">
        <f t="shared" si="99"/>
        <v>0</v>
      </c>
      <c r="O530" s="1154">
        <f t="shared" si="100"/>
        <v>615000</v>
      </c>
      <c r="P530" s="1155">
        <f t="shared" si="101"/>
        <v>615000</v>
      </c>
    </row>
    <row r="531" spans="1:16" s="651" customFormat="1" ht="39" customHeight="1">
      <c r="A531" s="1311" t="s">
        <v>395</v>
      </c>
      <c r="B531" s="1312" t="s">
        <v>395</v>
      </c>
      <c r="C531" s="1336" t="s">
        <v>391</v>
      </c>
      <c r="D531" s="1352">
        <v>531</v>
      </c>
      <c r="E531" s="1353" t="s">
        <v>1202</v>
      </c>
      <c r="F531" s="1383" t="s">
        <v>1203</v>
      </c>
      <c r="G531" s="1384">
        <v>500000</v>
      </c>
      <c r="H531" s="1384"/>
      <c r="I531" s="1384">
        <v>500000</v>
      </c>
      <c r="J531" s="1315">
        <f t="shared" si="95"/>
        <v>0</v>
      </c>
      <c r="K531" s="1384">
        <v>0</v>
      </c>
      <c r="L531" s="1384"/>
      <c r="M531" s="1384"/>
      <c r="N531" s="1315">
        <f t="shared" si="99"/>
        <v>0</v>
      </c>
      <c r="O531" s="1384">
        <f t="shared" si="100"/>
        <v>500000</v>
      </c>
      <c r="P531" s="1316">
        <f t="shared" si="101"/>
        <v>0</v>
      </c>
    </row>
    <row r="532" spans="1:16" s="651" customFormat="1" ht="79.5" customHeight="1">
      <c r="A532" s="881"/>
      <c r="B532" s="882"/>
      <c r="C532" s="914"/>
      <c r="D532" s="915"/>
      <c r="E532" s="918">
        <v>820000</v>
      </c>
      <c r="F532" s="919" t="s">
        <v>698</v>
      </c>
      <c r="G532" s="1181"/>
      <c r="H532" s="1181"/>
      <c r="I532" s="1181"/>
      <c r="J532" s="1181"/>
      <c r="K532" s="1181"/>
      <c r="L532" s="1181"/>
      <c r="M532" s="1181"/>
      <c r="N532" s="1181"/>
      <c r="O532" s="1181"/>
      <c r="P532" s="1203"/>
    </row>
    <row r="533" spans="1:16" s="651" customFormat="1" ht="51" customHeight="1">
      <c r="A533" s="625" t="s">
        <v>395</v>
      </c>
      <c r="B533" s="595" t="s">
        <v>395</v>
      </c>
      <c r="C533" s="691" t="s">
        <v>391</v>
      </c>
      <c r="D533" s="889">
        <v>662</v>
      </c>
      <c r="E533" s="883" t="s">
        <v>929</v>
      </c>
      <c r="F533" s="1013" t="s">
        <v>930</v>
      </c>
      <c r="G533" s="1154">
        <v>300000</v>
      </c>
      <c r="H533" s="1154"/>
      <c r="I533" s="1154"/>
      <c r="J533" s="1154">
        <f aca="true" t="shared" si="102" ref="J533:J542">G533+H533-I533</f>
        <v>300000</v>
      </c>
      <c r="K533" s="1154">
        <v>0</v>
      </c>
      <c r="L533" s="1154"/>
      <c r="M533" s="1154"/>
      <c r="N533" s="1154">
        <f t="shared" si="99"/>
        <v>0</v>
      </c>
      <c r="O533" s="1154">
        <f>G533+K533</f>
        <v>300000</v>
      </c>
      <c r="P533" s="1155">
        <f aca="true" t="shared" si="103" ref="P533:P542">J533+N533</f>
        <v>300000</v>
      </c>
    </row>
    <row r="534" spans="1:16" s="658" customFormat="1" ht="39" customHeight="1">
      <c r="A534" s="1311" t="s">
        <v>395</v>
      </c>
      <c r="B534" s="1312" t="s">
        <v>395</v>
      </c>
      <c r="C534" s="1336" t="s">
        <v>391</v>
      </c>
      <c r="D534" s="1352">
        <v>662</v>
      </c>
      <c r="E534" s="1387" t="s">
        <v>476</v>
      </c>
      <c r="F534" s="1361" t="s">
        <v>477</v>
      </c>
      <c r="G534" s="1315">
        <v>986846.04</v>
      </c>
      <c r="H534" s="1315">
        <v>670000</v>
      </c>
      <c r="I534" s="1315"/>
      <c r="J534" s="1315">
        <f t="shared" si="102"/>
        <v>1656846.04</v>
      </c>
      <c r="K534" s="1315">
        <v>0</v>
      </c>
      <c r="L534" s="1315"/>
      <c r="M534" s="1315"/>
      <c r="N534" s="1315">
        <f t="shared" si="99"/>
        <v>0</v>
      </c>
      <c r="O534" s="1315">
        <f aca="true" t="shared" si="104" ref="O534:O542">G534+K534</f>
        <v>986846.04</v>
      </c>
      <c r="P534" s="1316">
        <f t="shared" si="103"/>
        <v>1656846.04</v>
      </c>
    </row>
    <row r="535" spans="1:16" s="658" customFormat="1" ht="40.5" customHeight="1">
      <c r="A535" s="625" t="s">
        <v>395</v>
      </c>
      <c r="B535" s="595" t="s">
        <v>395</v>
      </c>
      <c r="C535" s="691" t="s">
        <v>391</v>
      </c>
      <c r="D535" s="889">
        <v>662</v>
      </c>
      <c r="E535" s="692" t="s">
        <v>61</v>
      </c>
      <c r="F535" s="762" t="s">
        <v>820</v>
      </c>
      <c r="G535" s="1154">
        <v>333758.06</v>
      </c>
      <c r="H535" s="1154"/>
      <c r="I535" s="1154"/>
      <c r="J535" s="1154">
        <f t="shared" si="102"/>
        <v>333758.06</v>
      </c>
      <c r="K535" s="1154">
        <v>0</v>
      </c>
      <c r="L535" s="1154"/>
      <c r="M535" s="1154"/>
      <c r="N535" s="1154">
        <f t="shared" si="99"/>
        <v>0</v>
      </c>
      <c r="O535" s="1154">
        <f t="shared" si="104"/>
        <v>333758.06</v>
      </c>
      <c r="P535" s="1155">
        <f t="shared" si="103"/>
        <v>333758.06</v>
      </c>
    </row>
    <row r="536" spans="1:16" s="715" customFormat="1" ht="58.5" customHeight="1">
      <c r="A536" s="886" t="s">
        <v>395</v>
      </c>
      <c r="B536" s="885" t="s">
        <v>395</v>
      </c>
      <c r="C536" s="934" t="s">
        <v>391</v>
      </c>
      <c r="D536" s="916">
        <v>631</v>
      </c>
      <c r="E536" s="890" t="s">
        <v>479</v>
      </c>
      <c r="F536" s="985" t="s">
        <v>695</v>
      </c>
      <c r="G536" s="1156">
        <v>605524.54</v>
      </c>
      <c r="H536" s="1156"/>
      <c r="I536" s="1156"/>
      <c r="J536" s="1156">
        <f t="shared" si="102"/>
        <v>605524.54</v>
      </c>
      <c r="K536" s="1156">
        <v>0</v>
      </c>
      <c r="L536" s="1156"/>
      <c r="M536" s="1156"/>
      <c r="N536" s="1156">
        <f t="shared" si="99"/>
        <v>0</v>
      </c>
      <c r="O536" s="1156">
        <f t="shared" si="104"/>
        <v>605524.54</v>
      </c>
      <c r="P536" s="1157">
        <f t="shared" si="103"/>
        <v>605524.54</v>
      </c>
    </row>
    <row r="537" spans="1:16" s="715" customFormat="1" ht="37.5" customHeight="1">
      <c r="A537" s="1351" t="s">
        <v>395</v>
      </c>
      <c r="B537" s="1324" t="s">
        <v>395</v>
      </c>
      <c r="C537" s="1422" t="s">
        <v>391</v>
      </c>
      <c r="D537" s="1423">
        <v>531</v>
      </c>
      <c r="E537" s="1353" t="s">
        <v>480</v>
      </c>
      <c r="F537" s="1361" t="s">
        <v>693</v>
      </c>
      <c r="G537" s="1315">
        <v>2297090.65</v>
      </c>
      <c r="H537" s="1315"/>
      <c r="I537" s="1315">
        <v>700000</v>
      </c>
      <c r="J537" s="1315">
        <f t="shared" si="102"/>
        <v>1597090.65</v>
      </c>
      <c r="K537" s="1315">
        <v>0</v>
      </c>
      <c r="L537" s="1315"/>
      <c r="M537" s="1315"/>
      <c r="N537" s="1315">
        <f t="shared" si="99"/>
        <v>0</v>
      </c>
      <c r="O537" s="1315">
        <f t="shared" si="104"/>
        <v>2297090.65</v>
      </c>
      <c r="P537" s="1316">
        <f t="shared" si="103"/>
        <v>1597090.65</v>
      </c>
    </row>
    <row r="538" spans="1:16" s="716" customFormat="1" ht="37.5" customHeight="1">
      <c r="A538" s="629" t="s">
        <v>395</v>
      </c>
      <c r="B538" s="630" t="s">
        <v>395</v>
      </c>
      <c r="C538" s="920" t="s">
        <v>391</v>
      </c>
      <c r="D538" s="921">
        <v>662</v>
      </c>
      <c r="E538" s="930" t="s">
        <v>478</v>
      </c>
      <c r="F538" s="753" t="s">
        <v>1320</v>
      </c>
      <c r="G538" s="1154">
        <v>155744.41</v>
      </c>
      <c r="H538" s="1154"/>
      <c r="I538" s="1154"/>
      <c r="J538" s="1154">
        <f t="shared" si="102"/>
        <v>155744.41</v>
      </c>
      <c r="K538" s="1154">
        <v>0</v>
      </c>
      <c r="L538" s="1154"/>
      <c r="M538" s="1154"/>
      <c r="N538" s="1154">
        <f t="shared" si="99"/>
        <v>0</v>
      </c>
      <c r="O538" s="1154">
        <f t="shared" si="104"/>
        <v>155744.41</v>
      </c>
      <c r="P538" s="1155">
        <f t="shared" si="103"/>
        <v>155744.41</v>
      </c>
    </row>
    <row r="539" spans="1:16" s="715" customFormat="1" ht="36" customHeight="1">
      <c r="A539" s="629" t="s">
        <v>395</v>
      </c>
      <c r="B539" s="630" t="s">
        <v>395</v>
      </c>
      <c r="C539" s="920" t="s">
        <v>391</v>
      </c>
      <c r="D539" s="921">
        <v>662</v>
      </c>
      <c r="E539" s="930">
        <v>821300</v>
      </c>
      <c r="F539" s="753" t="s">
        <v>694</v>
      </c>
      <c r="G539" s="1154">
        <v>20000</v>
      </c>
      <c r="H539" s="1154"/>
      <c r="I539" s="1154"/>
      <c r="J539" s="1154">
        <f t="shared" si="102"/>
        <v>20000</v>
      </c>
      <c r="K539" s="1154">
        <v>0</v>
      </c>
      <c r="L539" s="1154"/>
      <c r="M539" s="1154"/>
      <c r="N539" s="1154">
        <f t="shared" si="99"/>
        <v>0</v>
      </c>
      <c r="O539" s="1154">
        <f t="shared" si="104"/>
        <v>20000</v>
      </c>
      <c r="P539" s="1155">
        <f t="shared" si="103"/>
        <v>20000</v>
      </c>
    </row>
    <row r="540" spans="1:16" s="651" customFormat="1" ht="52.5" customHeight="1">
      <c r="A540" s="1424" t="s">
        <v>395</v>
      </c>
      <c r="B540" s="1307" t="s">
        <v>395</v>
      </c>
      <c r="C540" s="1308" t="s">
        <v>391</v>
      </c>
      <c r="D540" s="1425">
        <v>662</v>
      </c>
      <c r="E540" s="1301" t="s">
        <v>990</v>
      </c>
      <c r="F540" s="1426" t="s">
        <v>991</v>
      </c>
      <c r="G540" s="1303">
        <v>250000</v>
      </c>
      <c r="H540" s="1303"/>
      <c r="I540" s="1303">
        <v>110000</v>
      </c>
      <c r="J540" s="1303">
        <f t="shared" si="102"/>
        <v>140000</v>
      </c>
      <c r="K540" s="1303">
        <v>0</v>
      </c>
      <c r="L540" s="1303"/>
      <c r="M540" s="1303"/>
      <c r="N540" s="1303">
        <f t="shared" si="99"/>
        <v>0</v>
      </c>
      <c r="O540" s="1303">
        <f t="shared" si="104"/>
        <v>250000</v>
      </c>
      <c r="P540" s="1304">
        <f t="shared" si="103"/>
        <v>140000</v>
      </c>
    </row>
    <row r="541" spans="1:16" s="651" customFormat="1" ht="52.5" customHeight="1">
      <c r="A541" s="1424" t="s">
        <v>395</v>
      </c>
      <c r="B541" s="1307" t="s">
        <v>395</v>
      </c>
      <c r="C541" s="1308" t="s">
        <v>391</v>
      </c>
      <c r="D541" s="1425">
        <v>662</v>
      </c>
      <c r="E541" s="1301" t="s">
        <v>993</v>
      </c>
      <c r="F541" s="1427" t="s">
        <v>992</v>
      </c>
      <c r="G541" s="1303">
        <v>440000</v>
      </c>
      <c r="H541" s="1303"/>
      <c r="I541" s="1303">
        <v>40000</v>
      </c>
      <c r="J541" s="1303">
        <f t="shared" si="102"/>
        <v>400000</v>
      </c>
      <c r="K541" s="1428">
        <v>0</v>
      </c>
      <c r="L541" s="1303"/>
      <c r="M541" s="1303"/>
      <c r="N541" s="1303">
        <f t="shared" si="99"/>
        <v>0</v>
      </c>
      <c r="O541" s="1303">
        <f t="shared" si="104"/>
        <v>440000</v>
      </c>
      <c r="P541" s="1304">
        <f t="shared" si="103"/>
        <v>400000</v>
      </c>
    </row>
    <row r="542" spans="1:16" s="651" customFormat="1" ht="52.5" customHeight="1">
      <c r="A542" s="1424" t="s">
        <v>395</v>
      </c>
      <c r="B542" s="1307" t="s">
        <v>395</v>
      </c>
      <c r="C542" s="1308" t="s">
        <v>391</v>
      </c>
      <c r="D542" s="1425">
        <v>531</v>
      </c>
      <c r="E542" s="1447" t="s">
        <v>1207</v>
      </c>
      <c r="F542" s="1426" t="s">
        <v>1205</v>
      </c>
      <c r="G542" s="1428">
        <v>673898.06</v>
      </c>
      <c r="H542" s="1428"/>
      <c r="I542" s="1428">
        <v>539552.1</v>
      </c>
      <c r="J542" s="1303">
        <f t="shared" si="102"/>
        <v>134345.96000000008</v>
      </c>
      <c r="K542" s="1428">
        <v>0</v>
      </c>
      <c r="L542" s="1428"/>
      <c r="M542" s="1428"/>
      <c r="N542" s="1303">
        <f t="shared" si="99"/>
        <v>0</v>
      </c>
      <c r="O542" s="1428">
        <f t="shared" si="104"/>
        <v>673898.06</v>
      </c>
      <c r="P542" s="1304">
        <f t="shared" si="103"/>
        <v>134345.96000000008</v>
      </c>
    </row>
    <row r="543" spans="1:16" s="651" customFormat="1" ht="81" customHeight="1">
      <c r="A543" s="641"/>
      <c r="B543" s="420"/>
      <c r="C543" s="422"/>
      <c r="D543" s="420"/>
      <c r="E543" s="708"/>
      <c r="F543" s="492" t="s">
        <v>1117</v>
      </c>
      <c r="G543" s="1183">
        <f>SUM(G520:G542)</f>
        <v>7721628.18</v>
      </c>
      <c r="H543" s="1183">
        <f aca="true" t="shared" si="105" ref="H543:O543">SUM(H520:H542)</f>
        <v>3200000</v>
      </c>
      <c r="I543" s="1183">
        <f t="shared" si="105"/>
        <v>1889552.1</v>
      </c>
      <c r="J543" s="1183">
        <f t="shared" si="105"/>
        <v>9032076.08</v>
      </c>
      <c r="K543" s="1183">
        <f t="shared" si="105"/>
        <v>0</v>
      </c>
      <c r="L543" s="1183">
        <f t="shared" si="105"/>
        <v>0</v>
      </c>
      <c r="M543" s="1183">
        <f t="shared" si="105"/>
        <v>0</v>
      </c>
      <c r="N543" s="1183">
        <f t="shared" si="105"/>
        <v>0</v>
      </c>
      <c r="O543" s="1183">
        <f t="shared" si="105"/>
        <v>7721628.18</v>
      </c>
      <c r="P543" s="1183">
        <f>SUM(P520:P542)</f>
        <v>9032076.08</v>
      </c>
    </row>
    <row r="544" spans="1:16" s="722" customFormat="1" ht="1.5" customHeight="1" thickBot="1">
      <c r="A544" s="717"/>
      <c r="B544" s="718"/>
      <c r="C544" s="718"/>
      <c r="D544" s="719"/>
      <c r="E544" s="720"/>
      <c r="F544" s="721"/>
      <c r="G544" s="1217"/>
      <c r="H544" s="1217"/>
      <c r="I544" s="1217"/>
      <c r="J544" s="1217"/>
      <c r="K544" s="1217"/>
      <c r="L544" s="1217"/>
      <c r="M544" s="1217"/>
      <c r="N544" s="1217"/>
      <c r="O544" s="1218"/>
      <c r="P544" s="1218"/>
    </row>
    <row r="545" spans="1:16" ht="79.5" customHeight="1" thickBot="1">
      <c r="A545" s="723"/>
      <c r="B545" s="724"/>
      <c r="C545" s="725"/>
      <c r="D545" s="556"/>
      <c r="E545" s="726"/>
      <c r="F545" s="558" t="s">
        <v>682</v>
      </c>
      <c r="G545" s="1186">
        <f aca="true" t="shared" si="106" ref="G545:P545">SUM(G543,G511,G487,G439,G399)</f>
        <v>36073235.72</v>
      </c>
      <c r="H545" s="1186">
        <f t="shared" si="106"/>
        <v>4000000</v>
      </c>
      <c r="I545" s="1186">
        <f t="shared" si="106"/>
        <v>5205552.1</v>
      </c>
      <c r="J545" s="1186">
        <f t="shared" si="106"/>
        <v>34867683.620000005</v>
      </c>
      <c r="K545" s="1186">
        <f t="shared" si="106"/>
        <v>4157621.66</v>
      </c>
      <c r="L545" s="1186">
        <f t="shared" si="106"/>
        <v>11059.2</v>
      </c>
      <c r="M545" s="1186">
        <f t="shared" si="106"/>
        <v>1000000</v>
      </c>
      <c r="N545" s="1186">
        <f t="shared" si="106"/>
        <v>3168680.86</v>
      </c>
      <c r="O545" s="1187">
        <f t="shared" si="106"/>
        <v>40230857.38</v>
      </c>
      <c r="P545" s="1188">
        <f t="shared" si="106"/>
        <v>38036364.480000004</v>
      </c>
    </row>
    <row r="546" spans="1:16" ht="282.75" customHeight="1">
      <c r="A546" s="401" t="s">
        <v>494</v>
      </c>
      <c r="B546" s="402" t="s">
        <v>495</v>
      </c>
      <c r="C546" s="403" t="s">
        <v>677</v>
      </c>
      <c r="D546" s="404" t="s">
        <v>497</v>
      </c>
      <c r="E546" s="404" t="s">
        <v>188</v>
      </c>
      <c r="F546" s="405" t="s">
        <v>496</v>
      </c>
      <c r="G546" s="813" t="s">
        <v>1322</v>
      </c>
      <c r="H546" s="813" t="s">
        <v>1324</v>
      </c>
      <c r="I546" s="813" t="s">
        <v>1325</v>
      </c>
      <c r="J546" s="813" t="s">
        <v>1326</v>
      </c>
      <c r="K546" s="813" t="s">
        <v>1323</v>
      </c>
      <c r="L546" s="813" t="s">
        <v>1327</v>
      </c>
      <c r="M546" s="813" t="s">
        <v>1328</v>
      </c>
      <c r="N546" s="813" t="s">
        <v>1329</v>
      </c>
      <c r="O546" s="1278" t="s">
        <v>1321</v>
      </c>
      <c r="P546" s="1149" t="s">
        <v>1330</v>
      </c>
    </row>
    <row r="547" spans="1:16" ht="29.25" customHeight="1">
      <c r="A547" s="1537">
        <v>0</v>
      </c>
      <c r="B547" s="1538"/>
      <c r="C547" s="1539"/>
      <c r="D547" s="409">
        <v>1</v>
      </c>
      <c r="E547" s="409">
        <v>2</v>
      </c>
      <c r="F547" s="410">
        <v>3</v>
      </c>
      <c r="G547" s="1150">
        <v>4</v>
      </c>
      <c r="H547" s="1150">
        <v>5</v>
      </c>
      <c r="I547" s="1150">
        <v>6</v>
      </c>
      <c r="J547" s="1150">
        <v>7</v>
      </c>
      <c r="K547" s="1150">
        <v>8</v>
      </c>
      <c r="L547" s="1150">
        <v>9</v>
      </c>
      <c r="M547" s="1150">
        <v>10</v>
      </c>
      <c r="N547" s="1150">
        <v>11</v>
      </c>
      <c r="O547" s="1150">
        <v>12</v>
      </c>
      <c r="P547" s="1151">
        <v>13</v>
      </c>
    </row>
    <row r="548" spans="1:16" ht="69" customHeight="1">
      <c r="A548" s="483" t="s">
        <v>396</v>
      </c>
      <c r="B548" s="484"/>
      <c r="C548" s="484"/>
      <c r="D548" s="413"/>
      <c r="E548" s="727"/>
      <c r="F548" s="487" t="s">
        <v>13</v>
      </c>
      <c r="G548" s="415"/>
      <c r="H548" s="415"/>
      <c r="I548" s="415"/>
      <c r="J548" s="415"/>
      <c r="K548" s="415"/>
      <c r="L548" s="415"/>
      <c r="M548" s="415"/>
      <c r="N548" s="415"/>
      <c r="O548" s="415"/>
      <c r="P548" s="1152"/>
    </row>
    <row r="549" spans="1:16" ht="66" customHeight="1">
      <c r="A549" s="488" t="s">
        <v>396</v>
      </c>
      <c r="B549" s="489" t="s">
        <v>390</v>
      </c>
      <c r="C549" s="489"/>
      <c r="D549" s="420"/>
      <c r="E549" s="728"/>
      <c r="F549" s="729" t="s">
        <v>14</v>
      </c>
      <c r="G549" s="422"/>
      <c r="H549" s="422"/>
      <c r="I549" s="422"/>
      <c r="J549" s="422"/>
      <c r="K549" s="422"/>
      <c r="L549" s="422"/>
      <c r="M549" s="422"/>
      <c r="N549" s="422"/>
      <c r="O549" s="422"/>
      <c r="P549" s="1153"/>
    </row>
    <row r="550" spans="1:16" ht="43.5" customHeight="1">
      <c r="A550" s="424"/>
      <c r="B550" s="425"/>
      <c r="C550" s="425"/>
      <c r="D550" s="420"/>
      <c r="E550" s="426">
        <v>610000</v>
      </c>
      <c r="F550" s="730" t="s">
        <v>513</v>
      </c>
      <c r="G550" s="422"/>
      <c r="H550" s="422"/>
      <c r="I550" s="422"/>
      <c r="J550" s="422"/>
      <c r="K550" s="422"/>
      <c r="L550" s="422"/>
      <c r="M550" s="422"/>
      <c r="N550" s="422"/>
      <c r="O550" s="422"/>
      <c r="P550" s="1153"/>
    </row>
    <row r="551" spans="1:16" ht="48" customHeight="1">
      <c r="A551" s="442" t="s">
        <v>396</v>
      </c>
      <c r="B551" s="535" t="s">
        <v>390</v>
      </c>
      <c r="C551" s="536" t="s">
        <v>391</v>
      </c>
      <c r="D551" s="537">
        <v>443</v>
      </c>
      <c r="E551" s="538">
        <v>611100</v>
      </c>
      <c r="F551" s="626" t="s">
        <v>962</v>
      </c>
      <c r="G551" s="1154">
        <v>556500</v>
      </c>
      <c r="H551" s="1154"/>
      <c r="I551" s="1154"/>
      <c r="J551" s="1154">
        <f aca="true" t="shared" si="107" ref="J551:J561">G551+H551-I551</f>
        <v>556500</v>
      </c>
      <c r="K551" s="1154">
        <v>0</v>
      </c>
      <c r="L551" s="1154"/>
      <c r="M551" s="1154"/>
      <c r="N551" s="1154">
        <f aca="true" t="shared" si="108" ref="N551:N561">K551+L551-M551</f>
        <v>0</v>
      </c>
      <c r="O551" s="1154">
        <f aca="true" t="shared" si="109" ref="O551:O561">G551+K551</f>
        <v>556500</v>
      </c>
      <c r="P551" s="1155">
        <f aca="true" t="shared" si="110" ref="P551:P561">J551+N551</f>
        <v>556500</v>
      </c>
    </row>
    <row r="552" spans="1:16" ht="33" customHeight="1">
      <c r="A552" s="546" t="s">
        <v>396</v>
      </c>
      <c r="B552" s="547" t="s">
        <v>390</v>
      </c>
      <c r="C552" s="547" t="s">
        <v>391</v>
      </c>
      <c r="D552" s="537">
        <v>443</v>
      </c>
      <c r="E552" s="432">
        <v>611200</v>
      </c>
      <c r="F552" s="468" t="s">
        <v>514</v>
      </c>
      <c r="G552" s="1154">
        <v>90000</v>
      </c>
      <c r="H552" s="1154"/>
      <c r="I552" s="1154"/>
      <c r="J552" s="1154">
        <f t="shared" si="107"/>
        <v>90000</v>
      </c>
      <c r="K552" s="1154">
        <v>0</v>
      </c>
      <c r="L552" s="1154"/>
      <c r="M552" s="1154"/>
      <c r="N552" s="1154">
        <f t="shared" si="108"/>
        <v>0</v>
      </c>
      <c r="O552" s="1154">
        <f t="shared" si="109"/>
        <v>90000</v>
      </c>
      <c r="P552" s="1155">
        <f t="shared" si="110"/>
        <v>90000</v>
      </c>
    </row>
    <row r="553" spans="1:16" ht="31.5" customHeight="1">
      <c r="A553" s="546" t="s">
        <v>396</v>
      </c>
      <c r="B553" s="547" t="s">
        <v>390</v>
      </c>
      <c r="C553" s="547" t="s">
        <v>391</v>
      </c>
      <c r="D553" s="537">
        <v>443</v>
      </c>
      <c r="E553" s="435">
        <v>612000</v>
      </c>
      <c r="F553" s="468" t="s">
        <v>889</v>
      </c>
      <c r="G553" s="1154">
        <v>59000</v>
      </c>
      <c r="H553" s="1154"/>
      <c r="I553" s="1154"/>
      <c r="J553" s="1154">
        <f t="shared" si="107"/>
        <v>59000</v>
      </c>
      <c r="K553" s="1154">
        <v>0</v>
      </c>
      <c r="L553" s="1154"/>
      <c r="M553" s="1154"/>
      <c r="N553" s="1154">
        <f t="shared" si="108"/>
        <v>0</v>
      </c>
      <c r="O553" s="1154">
        <f t="shared" si="109"/>
        <v>59000</v>
      </c>
      <c r="P553" s="1155">
        <f t="shared" si="110"/>
        <v>59000</v>
      </c>
    </row>
    <row r="554" spans="1:16" ht="36" customHeight="1">
      <c r="A554" s="1351" t="s">
        <v>396</v>
      </c>
      <c r="B554" s="1324" t="s">
        <v>390</v>
      </c>
      <c r="C554" s="1324" t="s">
        <v>391</v>
      </c>
      <c r="D554" s="1352">
        <v>443</v>
      </c>
      <c r="E554" s="1353">
        <v>613100</v>
      </c>
      <c r="F554" s="1354" t="s">
        <v>515</v>
      </c>
      <c r="G554" s="1315">
        <v>3000</v>
      </c>
      <c r="H554" s="1315"/>
      <c r="I554" s="1315">
        <v>1000</v>
      </c>
      <c r="J554" s="1315">
        <f t="shared" si="107"/>
        <v>2000</v>
      </c>
      <c r="K554" s="1315">
        <v>0</v>
      </c>
      <c r="L554" s="1315"/>
      <c r="M554" s="1315"/>
      <c r="N554" s="1315">
        <f t="shared" si="108"/>
        <v>0</v>
      </c>
      <c r="O554" s="1315">
        <f t="shared" si="109"/>
        <v>3000</v>
      </c>
      <c r="P554" s="1316">
        <f t="shared" si="110"/>
        <v>2000</v>
      </c>
    </row>
    <row r="555" spans="1:16" ht="32.25" customHeight="1">
      <c r="A555" s="546" t="s">
        <v>396</v>
      </c>
      <c r="B555" s="547" t="s">
        <v>390</v>
      </c>
      <c r="C555" s="547" t="s">
        <v>391</v>
      </c>
      <c r="D555" s="537">
        <v>443</v>
      </c>
      <c r="E555" s="538">
        <v>613310</v>
      </c>
      <c r="F555" s="690" t="s">
        <v>616</v>
      </c>
      <c r="G555" s="1154">
        <v>5000</v>
      </c>
      <c r="H555" s="1154"/>
      <c r="I555" s="1154"/>
      <c r="J555" s="1154">
        <f t="shared" si="107"/>
        <v>5000</v>
      </c>
      <c r="K555" s="1154">
        <v>0</v>
      </c>
      <c r="L555" s="1154"/>
      <c r="M555" s="1154"/>
      <c r="N555" s="1154">
        <f t="shared" si="108"/>
        <v>0</v>
      </c>
      <c r="O555" s="1154">
        <f t="shared" si="109"/>
        <v>5000</v>
      </c>
      <c r="P555" s="1155">
        <f t="shared" si="110"/>
        <v>5000</v>
      </c>
    </row>
    <row r="556" spans="1:16" ht="36" customHeight="1">
      <c r="A556" s="546" t="s">
        <v>396</v>
      </c>
      <c r="B556" s="547" t="s">
        <v>390</v>
      </c>
      <c r="C556" s="547" t="s">
        <v>391</v>
      </c>
      <c r="D556" s="537">
        <v>443</v>
      </c>
      <c r="E556" s="550">
        <v>613400</v>
      </c>
      <c r="F556" s="731" t="s">
        <v>501</v>
      </c>
      <c r="G556" s="1154">
        <v>7000</v>
      </c>
      <c r="H556" s="1154"/>
      <c r="I556" s="1154"/>
      <c r="J556" s="1154">
        <f t="shared" si="107"/>
        <v>7000</v>
      </c>
      <c r="K556" s="1154">
        <v>0</v>
      </c>
      <c r="L556" s="1154"/>
      <c r="M556" s="1154"/>
      <c r="N556" s="1154">
        <f t="shared" si="108"/>
        <v>0</v>
      </c>
      <c r="O556" s="1154">
        <f t="shared" si="109"/>
        <v>7000</v>
      </c>
      <c r="P556" s="1155">
        <f t="shared" si="110"/>
        <v>7000</v>
      </c>
    </row>
    <row r="557" spans="1:16" ht="30.75" customHeight="1">
      <c r="A557" s="546" t="s">
        <v>396</v>
      </c>
      <c r="B557" s="547" t="s">
        <v>390</v>
      </c>
      <c r="C557" s="547" t="s">
        <v>391</v>
      </c>
      <c r="D557" s="537">
        <v>443</v>
      </c>
      <c r="E557" s="550">
        <v>613720</v>
      </c>
      <c r="F557" s="731" t="s">
        <v>530</v>
      </c>
      <c r="G557" s="1154">
        <v>3000</v>
      </c>
      <c r="H557" s="1154"/>
      <c r="I557" s="1154"/>
      <c r="J557" s="1154">
        <f t="shared" si="107"/>
        <v>3000</v>
      </c>
      <c r="K557" s="1154">
        <v>0</v>
      </c>
      <c r="L557" s="1154"/>
      <c r="M557" s="1154"/>
      <c r="N557" s="1154">
        <f t="shared" si="108"/>
        <v>0</v>
      </c>
      <c r="O557" s="1154">
        <f t="shared" si="109"/>
        <v>3000</v>
      </c>
      <c r="P557" s="1155">
        <f t="shared" si="110"/>
        <v>3000</v>
      </c>
    </row>
    <row r="558" spans="1:16" ht="30.75" customHeight="1">
      <c r="A558" s="546" t="s">
        <v>396</v>
      </c>
      <c r="B558" s="547" t="s">
        <v>390</v>
      </c>
      <c r="C558" s="547" t="s">
        <v>391</v>
      </c>
      <c r="D558" s="537">
        <v>443</v>
      </c>
      <c r="E558" s="550">
        <v>613910</v>
      </c>
      <c r="F558" s="496" t="s">
        <v>502</v>
      </c>
      <c r="G558" s="1154">
        <v>3000</v>
      </c>
      <c r="H558" s="1154"/>
      <c r="I558" s="1154"/>
      <c r="J558" s="1154">
        <f t="shared" si="107"/>
        <v>3000</v>
      </c>
      <c r="K558" s="1154">
        <v>0</v>
      </c>
      <c r="L558" s="1154"/>
      <c r="M558" s="1154"/>
      <c r="N558" s="1154">
        <f t="shared" si="108"/>
        <v>0</v>
      </c>
      <c r="O558" s="1154">
        <f t="shared" si="109"/>
        <v>3000</v>
      </c>
      <c r="P558" s="1155">
        <f t="shared" si="110"/>
        <v>3000</v>
      </c>
    </row>
    <row r="559" spans="1:16" ht="33" customHeight="1">
      <c r="A559" s="546" t="s">
        <v>396</v>
      </c>
      <c r="B559" s="547" t="s">
        <v>390</v>
      </c>
      <c r="C559" s="547" t="s">
        <v>391</v>
      </c>
      <c r="D559" s="537">
        <v>443</v>
      </c>
      <c r="E559" s="550">
        <v>613934</v>
      </c>
      <c r="F559" s="496" t="s">
        <v>540</v>
      </c>
      <c r="G559" s="1154">
        <v>15000</v>
      </c>
      <c r="H559" s="1154"/>
      <c r="I559" s="1154"/>
      <c r="J559" s="1154">
        <f t="shared" si="107"/>
        <v>15000</v>
      </c>
      <c r="K559" s="1154">
        <v>0</v>
      </c>
      <c r="L559" s="1154"/>
      <c r="M559" s="1154"/>
      <c r="N559" s="1154">
        <f t="shared" si="108"/>
        <v>0</v>
      </c>
      <c r="O559" s="1154">
        <f t="shared" si="109"/>
        <v>15000</v>
      </c>
      <c r="P559" s="1155">
        <f t="shared" si="110"/>
        <v>15000</v>
      </c>
    </row>
    <row r="560" spans="1:16" ht="42" customHeight="1">
      <c r="A560" s="546" t="s">
        <v>396</v>
      </c>
      <c r="B560" s="547" t="s">
        <v>390</v>
      </c>
      <c r="C560" s="547" t="s">
        <v>391</v>
      </c>
      <c r="D560" s="537">
        <v>443</v>
      </c>
      <c r="E560" s="694">
        <v>613974</v>
      </c>
      <c r="F560" s="731" t="s">
        <v>608</v>
      </c>
      <c r="G560" s="1154">
        <v>0</v>
      </c>
      <c r="H560" s="1154"/>
      <c r="I560" s="1154"/>
      <c r="J560" s="1154">
        <f t="shared" si="107"/>
        <v>0</v>
      </c>
      <c r="K560" s="1154">
        <v>75000</v>
      </c>
      <c r="L560" s="1154"/>
      <c r="M560" s="1154"/>
      <c r="N560" s="1154">
        <f t="shared" si="108"/>
        <v>75000</v>
      </c>
      <c r="O560" s="1154">
        <f t="shared" si="109"/>
        <v>75000</v>
      </c>
      <c r="P560" s="1155">
        <f t="shared" si="110"/>
        <v>75000</v>
      </c>
    </row>
    <row r="561" spans="1:16" ht="40.5" customHeight="1">
      <c r="A561" s="546" t="s">
        <v>396</v>
      </c>
      <c r="B561" s="547" t="s">
        <v>390</v>
      </c>
      <c r="C561" s="547" t="s">
        <v>391</v>
      </c>
      <c r="D561" s="537">
        <v>443</v>
      </c>
      <c r="E561" s="694" t="s">
        <v>541</v>
      </c>
      <c r="F561" s="732" t="s">
        <v>88</v>
      </c>
      <c r="G561" s="1154">
        <v>5000</v>
      </c>
      <c r="H561" s="1154"/>
      <c r="I561" s="1154"/>
      <c r="J561" s="1154">
        <f t="shared" si="107"/>
        <v>5000</v>
      </c>
      <c r="K561" s="1154">
        <v>0</v>
      </c>
      <c r="L561" s="1154"/>
      <c r="M561" s="1154"/>
      <c r="N561" s="1154">
        <f t="shared" si="108"/>
        <v>0</v>
      </c>
      <c r="O561" s="1154">
        <f t="shared" si="109"/>
        <v>5000</v>
      </c>
      <c r="P561" s="1155">
        <f t="shared" si="110"/>
        <v>5000</v>
      </c>
    </row>
    <row r="562" spans="1:16" ht="45.75" customHeight="1">
      <c r="A562" s="444"/>
      <c r="B562" s="445"/>
      <c r="C562" s="446"/>
      <c r="D562" s="733"/>
      <c r="E562" s="448">
        <v>820000</v>
      </c>
      <c r="F562" s="734" t="s">
        <v>654</v>
      </c>
      <c r="G562" s="1158"/>
      <c r="H562" s="1158"/>
      <c r="I562" s="1158"/>
      <c r="J562" s="1158"/>
      <c r="K562" s="1158"/>
      <c r="L562" s="1158"/>
      <c r="M562" s="1158"/>
      <c r="N562" s="1158"/>
      <c r="O562" s="1158"/>
      <c r="P562" s="1159"/>
    </row>
    <row r="563" spans="1:16" ht="46.5" customHeight="1">
      <c r="A563" s="428" t="s">
        <v>396</v>
      </c>
      <c r="B563" s="535" t="s">
        <v>390</v>
      </c>
      <c r="C563" s="536" t="s">
        <v>391</v>
      </c>
      <c r="D563" s="537">
        <v>443</v>
      </c>
      <c r="E563" s="538">
        <v>821300</v>
      </c>
      <c r="F563" s="644" t="s">
        <v>528</v>
      </c>
      <c r="G563" s="1154">
        <v>19711</v>
      </c>
      <c r="H563" s="1154"/>
      <c r="I563" s="1154"/>
      <c r="J563" s="1154">
        <f>G563+H563-I563</f>
        <v>19711</v>
      </c>
      <c r="K563" s="1154">
        <v>0</v>
      </c>
      <c r="L563" s="1154"/>
      <c r="M563" s="1154"/>
      <c r="N563" s="1154">
        <f>K563+L563-M563</f>
        <v>0</v>
      </c>
      <c r="O563" s="1154">
        <f>G563+K563</f>
        <v>19711</v>
      </c>
      <c r="P563" s="1155">
        <f>J563+N563</f>
        <v>19711</v>
      </c>
    </row>
    <row r="564" spans="1:16" ht="69.75" customHeight="1" thickBot="1">
      <c r="A564" s="451"/>
      <c r="B564" s="452"/>
      <c r="C564" s="452"/>
      <c r="D564" s="453"/>
      <c r="E564" s="735"/>
      <c r="F564" s="736" t="s">
        <v>181</v>
      </c>
      <c r="G564" s="1160">
        <f aca="true" t="shared" si="111" ref="G564:P564">SUM(G551:G563)</f>
        <v>766211</v>
      </c>
      <c r="H564" s="1160">
        <f t="shared" si="111"/>
        <v>0</v>
      </c>
      <c r="I564" s="1160">
        <f t="shared" si="111"/>
        <v>1000</v>
      </c>
      <c r="J564" s="1160">
        <f t="shared" si="111"/>
        <v>765211</v>
      </c>
      <c r="K564" s="1160">
        <f t="shared" si="111"/>
        <v>75000</v>
      </c>
      <c r="L564" s="1160">
        <f t="shared" si="111"/>
        <v>0</v>
      </c>
      <c r="M564" s="1160">
        <f t="shared" si="111"/>
        <v>0</v>
      </c>
      <c r="N564" s="1160">
        <f t="shared" si="111"/>
        <v>75000</v>
      </c>
      <c r="O564" s="1161">
        <f t="shared" si="111"/>
        <v>841211</v>
      </c>
      <c r="P564" s="1162">
        <f t="shared" si="111"/>
        <v>840211</v>
      </c>
    </row>
    <row r="565" spans="1:16" ht="45" customHeight="1">
      <c r="A565" s="424"/>
      <c r="B565" s="425"/>
      <c r="C565" s="425"/>
      <c r="D565" s="420"/>
      <c r="E565" s="737"/>
      <c r="F565" s="518" t="s">
        <v>1142</v>
      </c>
      <c r="G565" s="1175"/>
      <c r="H565" s="1175"/>
      <c r="I565" s="1175"/>
      <c r="J565" s="1175"/>
      <c r="K565" s="1175"/>
      <c r="L565" s="1175"/>
      <c r="M565" s="1175"/>
      <c r="N565" s="1175"/>
      <c r="O565" s="1175"/>
      <c r="P565" s="1176"/>
    </row>
    <row r="566" spans="1:16" ht="41.25" customHeight="1">
      <c r="A566" s="424"/>
      <c r="B566" s="425"/>
      <c r="C566" s="425"/>
      <c r="D566" s="420"/>
      <c r="E566" s="737"/>
      <c r="F566" s="473" t="s">
        <v>1076</v>
      </c>
      <c r="G566" s="1177"/>
      <c r="H566" s="1177"/>
      <c r="I566" s="1177"/>
      <c r="J566" s="1177"/>
      <c r="K566" s="1177"/>
      <c r="L566" s="1177"/>
      <c r="M566" s="1177"/>
      <c r="N566" s="1177"/>
      <c r="O566" s="1177">
        <v>22</v>
      </c>
      <c r="P566" s="1178"/>
    </row>
    <row r="567" spans="1:16" s="519" customFormat="1" ht="45" customHeight="1" thickBot="1">
      <c r="A567" s="648"/>
      <c r="B567" s="649"/>
      <c r="C567" s="649"/>
      <c r="D567" s="477"/>
      <c r="E567" s="738"/>
      <c r="F567" s="515" t="s">
        <v>834</v>
      </c>
      <c r="G567" s="1201"/>
      <c r="H567" s="1201"/>
      <c r="I567" s="1201"/>
      <c r="J567" s="1201"/>
      <c r="K567" s="1201"/>
      <c r="L567" s="1201"/>
      <c r="M567" s="1201"/>
      <c r="N567" s="1201"/>
      <c r="O567" s="1201">
        <v>26</v>
      </c>
      <c r="P567" s="1202"/>
    </row>
    <row r="568" spans="1:16" s="527" customFormat="1" ht="282" customHeight="1">
      <c r="A568" s="401" t="s">
        <v>494</v>
      </c>
      <c r="B568" s="402" t="s">
        <v>495</v>
      </c>
      <c r="C568" s="403" t="s">
        <v>677</v>
      </c>
      <c r="D568" s="404" t="s">
        <v>497</v>
      </c>
      <c r="E568" s="404" t="s">
        <v>188</v>
      </c>
      <c r="F568" s="405" t="s">
        <v>496</v>
      </c>
      <c r="G568" s="813" t="s">
        <v>1322</v>
      </c>
      <c r="H568" s="813" t="s">
        <v>1324</v>
      </c>
      <c r="I568" s="813" t="s">
        <v>1325</v>
      </c>
      <c r="J568" s="813" t="s">
        <v>1326</v>
      </c>
      <c r="K568" s="813" t="s">
        <v>1323</v>
      </c>
      <c r="L568" s="813" t="s">
        <v>1327</v>
      </c>
      <c r="M568" s="813" t="s">
        <v>1328</v>
      </c>
      <c r="N568" s="813" t="s">
        <v>1329</v>
      </c>
      <c r="O568" s="1278" t="s">
        <v>1321</v>
      </c>
      <c r="P568" s="1149" t="s">
        <v>1330</v>
      </c>
    </row>
    <row r="569" spans="1:16" ht="28.5" customHeight="1">
      <c r="A569" s="1533">
        <v>0</v>
      </c>
      <c r="B569" s="1534"/>
      <c r="C569" s="1534"/>
      <c r="D569" s="409">
        <v>1</v>
      </c>
      <c r="E569" s="409">
        <v>2</v>
      </c>
      <c r="F569" s="410">
        <v>3</v>
      </c>
      <c r="G569" s="1150">
        <v>4</v>
      </c>
      <c r="H569" s="1150">
        <v>5</v>
      </c>
      <c r="I569" s="1150">
        <v>6</v>
      </c>
      <c r="J569" s="1150">
        <v>7</v>
      </c>
      <c r="K569" s="1150">
        <v>8</v>
      </c>
      <c r="L569" s="1150">
        <v>9</v>
      </c>
      <c r="M569" s="1150">
        <v>10</v>
      </c>
      <c r="N569" s="1150">
        <v>11</v>
      </c>
      <c r="O569" s="1150">
        <v>12</v>
      </c>
      <c r="P569" s="1151">
        <v>13</v>
      </c>
    </row>
    <row r="570" spans="1:16" ht="66" customHeight="1">
      <c r="A570" s="483" t="s">
        <v>396</v>
      </c>
      <c r="B570" s="484"/>
      <c r="C570" s="484"/>
      <c r="D570" s="413"/>
      <c r="E570" s="676"/>
      <c r="F570" s="739" t="s">
        <v>13</v>
      </c>
      <c r="G570" s="415"/>
      <c r="H570" s="415"/>
      <c r="I570" s="415"/>
      <c r="J570" s="415"/>
      <c r="K570" s="415"/>
      <c r="L570" s="415"/>
      <c r="M570" s="415"/>
      <c r="N570" s="415"/>
      <c r="O570" s="415"/>
      <c r="P570" s="1152"/>
    </row>
    <row r="571" spans="1:16" ht="38.25" customHeight="1">
      <c r="A571" s="488" t="s">
        <v>396</v>
      </c>
      <c r="B571" s="489" t="s">
        <v>392</v>
      </c>
      <c r="C571" s="489"/>
      <c r="D571" s="420"/>
      <c r="E571" s="740"/>
      <c r="F571" s="729" t="s">
        <v>1104</v>
      </c>
      <c r="G571" s="422"/>
      <c r="H571" s="422"/>
      <c r="I571" s="422"/>
      <c r="J571" s="422"/>
      <c r="K571" s="422"/>
      <c r="L571" s="422"/>
      <c r="M571" s="422"/>
      <c r="N571" s="422"/>
      <c r="O571" s="422"/>
      <c r="P571" s="1153"/>
    </row>
    <row r="572" spans="1:16" ht="55.5" customHeight="1">
      <c r="A572" s="424"/>
      <c r="B572" s="425"/>
      <c r="C572" s="425"/>
      <c r="D572" s="420"/>
      <c r="E572" s="426">
        <v>610000</v>
      </c>
      <c r="F572" s="741" t="s">
        <v>498</v>
      </c>
      <c r="G572" s="422"/>
      <c r="H572" s="422"/>
      <c r="I572" s="422"/>
      <c r="J572" s="422"/>
      <c r="K572" s="422"/>
      <c r="L572" s="422"/>
      <c r="M572" s="422"/>
      <c r="N572" s="422"/>
      <c r="O572" s="422"/>
      <c r="P572" s="1153"/>
    </row>
    <row r="573" spans="1:16" s="577" customFormat="1" ht="53.25" customHeight="1">
      <c r="A573" s="563" t="s">
        <v>396</v>
      </c>
      <c r="B573" s="564" t="s">
        <v>392</v>
      </c>
      <c r="C573" s="564" t="s">
        <v>391</v>
      </c>
      <c r="D573" s="678">
        <v>443</v>
      </c>
      <c r="E573" s="589" t="s">
        <v>712</v>
      </c>
      <c r="F573" s="664" t="s">
        <v>507</v>
      </c>
      <c r="G573" s="1156">
        <v>10000</v>
      </c>
      <c r="H573" s="1156"/>
      <c r="I573" s="1156"/>
      <c r="J573" s="1156">
        <f>G573+H573-I573</f>
        <v>10000</v>
      </c>
      <c r="K573" s="1156">
        <v>0</v>
      </c>
      <c r="L573" s="1156"/>
      <c r="M573" s="1156"/>
      <c r="N573" s="1156">
        <f>K573+L573-M573</f>
        <v>0</v>
      </c>
      <c r="O573" s="1156">
        <f>G573+K573</f>
        <v>10000</v>
      </c>
      <c r="P573" s="1157">
        <f>J573+N573</f>
        <v>10000</v>
      </c>
    </row>
    <row r="574" spans="1:16" s="577" customFormat="1" ht="53.25" customHeight="1">
      <c r="A574" s="563" t="s">
        <v>396</v>
      </c>
      <c r="B574" s="564" t="s">
        <v>392</v>
      </c>
      <c r="C574" s="564" t="s">
        <v>391</v>
      </c>
      <c r="D574" s="678">
        <v>443</v>
      </c>
      <c r="E574" s="589" t="s">
        <v>554</v>
      </c>
      <c r="F574" s="664" t="s">
        <v>553</v>
      </c>
      <c r="G574" s="1156">
        <v>15000</v>
      </c>
      <c r="H574" s="1156"/>
      <c r="I574" s="1156"/>
      <c r="J574" s="1156">
        <f>G574+H574-I574</f>
        <v>15000</v>
      </c>
      <c r="K574" s="1156">
        <v>0</v>
      </c>
      <c r="L574" s="1156"/>
      <c r="M574" s="1156"/>
      <c r="N574" s="1156">
        <f>K574+L574-M574</f>
        <v>0</v>
      </c>
      <c r="O574" s="1156">
        <f>G574+K574</f>
        <v>15000</v>
      </c>
      <c r="P574" s="1157">
        <f>J574+N574</f>
        <v>15000</v>
      </c>
    </row>
    <row r="575" spans="1:16" s="742" customFormat="1" ht="57" customHeight="1" thickBot="1">
      <c r="A575" s="922" t="s">
        <v>396</v>
      </c>
      <c r="B575" s="923" t="s">
        <v>392</v>
      </c>
      <c r="C575" s="923" t="s">
        <v>391</v>
      </c>
      <c r="D575" s="904">
        <v>443</v>
      </c>
      <c r="E575" s="829" t="s">
        <v>696</v>
      </c>
      <c r="F575" s="662" t="s">
        <v>928</v>
      </c>
      <c r="G575" s="1156">
        <v>95000</v>
      </c>
      <c r="H575" s="1156"/>
      <c r="I575" s="1156"/>
      <c r="J575" s="1156">
        <f>G575+H575-I575</f>
        <v>95000</v>
      </c>
      <c r="K575" s="1156">
        <v>0</v>
      </c>
      <c r="L575" s="1156"/>
      <c r="M575" s="1156"/>
      <c r="N575" s="1156">
        <f>K575+L575-M575</f>
        <v>0</v>
      </c>
      <c r="O575" s="1156">
        <f>G575+K575</f>
        <v>95000</v>
      </c>
      <c r="P575" s="1157">
        <f>J575+N575</f>
        <v>95000</v>
      </c>
    </row>
    <row r="576" spans="1:16" ht="39.75" customHeight="1">
      <c r="A576" s="499"/>
      <c r="B576" s="500"/>
      <c r="C576" s="501"/>
      <c r="D576" s="537"/>
      <c r="E576" s="538"/>
      <c r="F576" s="743" t="s">
        <v>697</v>
      </c>
      <c r="G576" s="1163">
        <f aca="true" t="shared" si="112" ref="G576:P576">SUM(G573:G575)</f>
        <v>120000</v>
      </c>
      <c r="H576" s="1163">
        <f t="shared" si="112"/>
        <v>0</v>
      </c>
      <c r="I576" s="1163">
        <f t="shared" si="112"/>
        <v>0</v>
      </c>
      <c r="J576" s="1163">
        <f t="shared" si="112"/>
        <v>120000</v>
      </c>
      <c r="K576" s="1163">
        <f t="shared" si="112"/>
        <v>0</v>
      </c>
      <c r="L576" s="1163">
        <f t="shared" si="112"/>
        <v>0</v>
      </c>
      <c r="M576" s="1163">
        <f t="shared" si="112"/>
        <v>0</v>
      </c>
      <c r="N576" s="1163">
        <f t="shared" si="112"/>
        <v>0</v>
      </c>
      <c r="O576" s="1164">
        <f t="shared" si="112"/>
        <v>120000</v>
      </c>
      <c r="P576" s="1165">
        <f t="shared" si="112"/>
        <v>120000</v>
      </c>
    </row>
    <row r="577" spans="1:16" ht="48" customHeight="1">
      <c r="A577" s="583"/>
      <c r="B577" s="584"/>
      <c r="C577" s="584"/>
      <c r="D577" s="413"/>
      <c r="E577" s="744"/>
      <c r="F577" s="745" t="s">
        <v>1105</v>
      </c>
      <c r="G577" s="1196">
        <f aca="true" t="shared" si="113" ref="G577:P577">SUM(G576,)</f>
        <v>120000</v>
      </c>
      <c r="H577" s="1196">
        <f t="shared" si="113"/>
        <v>0</v>
      </c>
      <c r="I577" s="1196">
        <f t="shared" si="113"/>
        <v>0</v>
      </c>
      <c r="J577" s="1196">
        <f t="shared" si="113"/>
        <v>120000</v>
      </c>
      <c r="K577" s="1196">
        <f t="shared" si="113"/>
        <v>0</v>
      </c>
      <c r="L577" s="1196">
        <f t="shared" si="113"/>
        <v>0</v>
      </c>
      <c r="M577" s="1196">
        <f t="shared" si="113"/>
        <v>0</v>
      </c>
      <c r="N577" s="1196">
        <f t="shared" si="113"/>
        <v>0</v>
      </c>
      <c r="O577" s="1197">
        <f t="shared" si="113"/>
        <v>120000</v>
      </c>
      <c r="P577" s="1198">
        <f t="shared" si="113"/>
        <v>120000</v>
      </c>
    </row>
    <row r="578" spans="1:16" ht="65.25" customHeight="1" thickBot="1">
      <c r="A578" s="539"/>
      <c r="B578" s="540"/>
      <c r="C578" s="540"/>
      <c r="D578" s="453"/>
      <c r="E578" s="746"/>
      <c r="F578" s="736" t="s">
        <v>822</v>
      </c>
      <c r="G578" s="1160">
        <f aca="true" t="shared" si="114" ref="G578:P578">SUM(G577,G564,)</f>
        <v>886211</v>
      </c>
      <c r="H578" s="1160">
        <f t="shared" si="114"/>
        <v>0</v>
      </c>
      <c r="I578" s="1160">
        <f t="shared" si="114"/>
        <v>1000</v>
      </c>
      <c r="J578" s="1160">
        <f t="shared" si="114"/>
        <v>885211</v>
      </c>
      <c r="K578" s="1160">
        <f t="shared" si="114"/>
        <v>75000</v>
      </c>
      <c r="L578" s="1160">
        <f t="shared" si="114"/>
        <v>0</v>
      </c>
      <c r="M578" s="1160">
        <f t="shared" si="114"/>
        <v>0</v>
      </c>
      <c r="N578" s="1160">
        <f t="shared" si="114"/>
        <v>75000</v>
      </c>
      <c r="O578" s="1161">
        <f t="shared" si="114"/>
        <v>961211</v>
      </c>
      <c r="P578" s="1162">
        <f t="shared" si="114"/>
        <v>960211</v>
      </c>
    </row>
    <row r="579" spans="1:16" ht="283.5" customHeight="1">
      <c r="A579" s="401" t="s">
        <v>494</v>
      </c>
      <c r="B579" s="402" t="s">
        <v>495</v>
      </c>
      <c r="C579" s="403" t="s">
        <v>677</v>
      </c>
      <c r="D579" s="404" t="s">
        <v>497</v>
      </c>
      <c r="E579" s="404" t="s">
        <v>188</v>
      </c>
      <c r="F579" s="405" t="s">
        <v>496</v>
      </c>
      <c r="G579" s="813" t="s">
        <v>1322</v>
      </c>
      <c r="H579" s="813" t="s">
        <v>1324</v>
      </c>
      <c r="I579" s="813" t="s">
        <v>1325</v>
      </c>
      <c r="J579" s="813" t="s">
        <v>1326</v>
      </c>
      <c r="K579" s="813" t="s">
        <v>1323</v>
      </c>
      <c r="L579" s="813" t="s">
        <v>1327</v>
      </c>
      <c r="M579" s="813" t="s">
        <v>1328</v>
      </c>
      <c r="N579" s="813" t="s">
        <v>1329</v>
      </c>
      <c r="O579" s="1278" t="s">
        <v>1321</v>
      </c>
      <c r="P579" s="1149" t="s">
        <v>1330</v>
      </c>
    </row>
    <row r="580" spans="1:16" ht="22.5" customHeight="1">
      <c r="A580" s="1533">
        <v>0</v>
      </c>
      <c r="B580" s="1534"/>
      <c r="C580" s="1534"/>
      <c r="D580" s="409">
        <v>1</v>
      </c>
      <c r="E580" s="409">
        <v>2</v>
      </c>
      <c r="F580" s="410">
        <v>3</v>
      </c>
      <c r="G580" s="1150">
        <v>4</v>
      </c>
      <c r="H580" s="1150">
        <v>5</v>
      </c>
      <c r="I580" s="1150">
        <v>6</v>
      </c>
      <c r="J580" s="1150">
        <v>7</v>
      </c>
      <c r="K580" s="1150">
        <v>8</v>
      </c>
      <c r="L580" s="1150">
        <v>9</v>
      </c>
      <c r="M580" s="1150">
        <v>10</v>
      </c>
      <c r="N580" s="1150">
        <v>11</v>
      </c>
      <c r="O580" s="1150">
        <v>12</v>
      </c>
      <c r="P580" s="1151">
        <v>13</v>
      </c>
    </row>
    <row r="581" spans="1:16" ht="60" customHeight="1">
      <c r="A581" s="483" t="s">
        <v>397</v>
      </c>
      <c r="B581" s="484"/>
      <c r="C581" s="484"/>
      <c r="D581" s="413"/>
      <c r="E581" s="747"/>
      <c r="F581" s="487" t="s">
        <v>15</v>
      </c>
      <c r="G581" s="415"/>
      <c r="H581" s="415"/>
      <c r="I581" s="415"/>
      <c r="J581" s="415"/>
      <c r="K581" s="415"/>
      <c r="L581" s="415"/>
      <c r="M581" s="415"/>
      <c r="N581" s="415"/>
      <c r="O581" s="415"/>
      <c r="P581" s="1152"/>
    </row>
    <row r="582" spans="1:16" ht="55.5" customHeight="1">
      <c r="A582" s="488" t="s">
        <v>397</v>
      </c>
      <c r="B582" s="489" t="s">
        <v>390</v>
      </c>
      <c r="C582" s="489"/>
      <c r="D582" s="420"/>
      <c r="E582" s="748"/>
      <c r="F582" s="729" t="s">
        <v>16</v>
      </c>
      <c r="G582" s="422"/>
      <c r="H582" s="422"/>
      <c r="I582" s="422"/>
      <c r="J582" s="422"/>
      <c r="K582" s="422"/>
      <c r="L582" s="422"/>
      <c r="M582" s="422"/>
      <c r="N582" s="422"/>
      <c r="O582" s="422"/>
      <c r="P582" s="1153"/>
    </row>
    <row r="583" spans="1:16" ht="29.25" customHeight="1">
      <c r="A583" s="424"/>
      <c r="B583" s="425"/>
      <c r="C583" s="425"/>
      <c r="D583" s="420"/>
      <c r="E583" s="426">
        <v>610000</v>
      </c>
      <c r="F583" s="730" t="s">
        <v>513</v>
      </c>
      <c r="G583" s="422"/>
      <c r="H583" s="422"/>
      <c r="I583" s="422"/>
      <c r="J583" s="422"/>
      <c r="K583" s="422"/>
      <c r="L583" s="422"/>
      <c r="M583" s="422"/>
      <c r="N583" s="422"/>
      <c r="O583" s="422"/>
      <c r="P583" s="1153"/>
    </row>
    <row r="584" spans="1:16" ht="50.25" customHeight="1">
      <c r="A584" s="625" t="s">
        <v>397</v>
      </c>
      <c r="B584" s="595" t="s">
        <v>390</v>
      </c>
      <c r="C584" s="691" t="s">
        <v>391</v>
      </c>
      <c r="D584" s="889">
        <v>161</v>
      </c>
      <c r="E584" s="932">
        <v>611100</v>
      </c>
      <c r="F584" s="626" t="s">
        <v>962</v>
      </c>
      <c r="G584" s="1154">
        <v>638500</v>
      </c>
      <c r="H584" s="1154"/>
      <c r="I584" s="1154"/>
      <c r="J584" s="1154">
        <f aca="true" t="shared" si="115" ref="J584:J593">G584+H584-I584</f>
        <v>638500</v>
      </c>
      <c r="K584" s="1154">
        <v>0</v>
      </c>
      <c r="L584" s="1154"/>
      <c r="M584" s="1154"/>
      <c r="N584" s="1154">
        <f aca="true" t="shared" si="116" ref="N584:N593">K584+L584-M584</f>
        <v>0</v>
      </c>
      <c r="O584" s="1154">
        <f aca="true" t="shared" si="117" ref="O584:O593">G584+K584</f>
        <v>638500</v>
      </c>
      <c r="P584" s="1155">
        <f aca="true" t="shared" si="118" ref="P584:P593">J584+N584</f>
        <v>638500</v>
      </c>
    </row>
    <row r="585" spans="1:16" ht="33.75" customHeight="1">
      <c r="A585" s="625" t="s">
        <v>397</v>
      </c>
      <c r="B585" s="595" t="s">
        <v>390</v>
      </c>
      <c r="C585" s="691" t="s">
        <v>391</v>
      </c>
      <c r="D585" s="889">
        <v>161</v>
      </c>
      <c r="E585" s="596">
        <v>611200</v>
      </c>
      <c r="F585" s="943" t="s">
        <v>514</v>
      </c>
      <c r="G585" s="1154">
        <v>130000</v>
      </c>
      <c r="H585" s="1154"/>
      <c r="I585" s="1154"/>
      <c r="J585" s="1154">
        <f t="shared" si="115"/>
        <v>130000</v>
      </c>
      <c r="K585" s="1154">
        <v>0</v>
      </c>
      <c r="L585" s="1154"/>
      <c r="M585" s="1154"/>
      <c r="N585" s="1154">
        <f t="shared" si="116"/>
        <v>0</v>
      </c>
      <c r="O585" s="1154">
        <f t="shared" si="117"/>
        <v>130000</v>
      </c>
      <c r="P585" s="1155">
        <f t="shared" si="118"/>
        <v>130000</v>
      </c>
    </row>
    <row r="586" spans="1:16" ht="38.25" customHeight="1">
      <c r="A586" s="625" t="s">
        <v>397</v>
      </c>
      <c r="B586" s="595" t="s">
        <v>390</v>
      </c>
      <c r="C586" s="691" t="s">
        <v>391</v>
      </c>
      <c r="D586" s="889">
        <v>161</v>
      </c>
      <c r="E586" s="464">
        <v>612000</v>
      </c>
      <c r="F586" s="943" t="s">
        <v>889</v>
      </c>
      <c r="G586" s="1154">
        <v>67500</v>
      </c>
      <c r="H586" s="1154"/>
      <c r="I586" s="1154"/>
      <c r="J586" s="1154">
        <f t="shared" si="115"/>
        <v>67500</v>
      </c>
      <c r="K586" s="1154">
        <v>0</v>
      </c>
      <c r="L586" s="1154"/>
      <c r="M586" s="1154"/>
      <c r="N586" s="1154">
        <f t="shared" si="116"/>
        <v>0</v>
      </c>
      <c r="O586" s="1154">
        <f t="shared" si="117"/>
        <v>67500</v>
      </c>
      <c r="P586" s="1155">
        <f t="shared" si="118"/>
        <v>67500</v>
      </c>
    </row>
    <row r="587" spans="1:16" ht="38.25" customHeight="1">
      <c r="A587" s="625" t="s">
        <v>397</v>
      </c>
      <c r="B587" s="595" t="s">
        <v>390</v>
      </c>
      <c r="C587" s="691" t="s">
        <v>391</v>
      </c>
      <c r="D587" s="889">
        <v>161</v>
      </c>
      <c r="E587" s="908">
        <v>613100</v>
      </c>
      <c r="F587" s="628" t="s">
        <v>515</v>
      </c>
      <c r="G587" s="1154">
        <v>2000</v>
      </c>
      <c r="H587" s="1154"/>
      <c r="I587" s="1154"/>
      <c r="J587" s="1154">
        <f t="shared" si="115"/>
        <v>2000</v>
      </c>
      <c r="K587" s="1154">
        <v>0</v>
      </c>
      <c r="L587" s="1154"/>
      <c r="M587" s="1154"/>
      <c r="N587" s="1154">
        <f t="shared" si="116"/>
        <v>0</v>
      </c>
      <c r="O587" s="1154">
        <f t="shared" si="117"/>
        <v>2000</v>
      </c>
      <c r="P587" s="1155">
        <f t="shared" si="118"/>
        <v>2000</v>
      </c>
    </row>
    <row r="588" spans="1:16" ht="35.25" customHeight="1">
      <c r="A588" s="625" t="s">
        <v>397</v>
      </c>
      <c r="B588" s="595" t="s">
        <v>390</v>
      </c>
      <c r="C588" s="691" t="s">
        <v>391</v>
      </c>
      <c r="D588" s="889">
        <v>161</v>
      </c>
      <c r="E588" s="692">
        <v>613310</v>
      </c>
      <c r="F588" s="762" t="s">
        <v>616</v>
      </c>
      <c r="G588" s="1154">
        <v>6000</v>
      </c>
      <c r="H588" s="1154"/>
      <c r="I588" s="1154"/>
      <c r="J588" s="1154">
        <f t="shared" si="115"/>
        <v>6000</v>
      </c>
      <c r="K588" s="1154">
        <v>0</v>
      </c>
      <c r="L588" s="1154"/>
      <c r="M588" s="1154"/>
      <c r="N588" s="1154">
        <f t="shared" si="116"/>
        <v>0</v>
      </c>
      <c r="O588" s="1154">
        <f t="shared" si="117"/>
        <v>6000</v>
      </c>
      <c r="P588" s="1155">
        <f t="shared" si="118"/>
        <v>6000</v>
      </c>
    </row>
    <row r="589" spans="1:16" ht="40.5" customHeight="1">
      <c r="A589" s="625" t="s">
        <v>397</v>
      </c>
      <c r="B589" s="595" t="s">
        <v>390</v>
      </c>
      <c r="C589" s="691" t="s">
        <v>391</v>
      </c>
      <c r="D589" s="889">
        <v>161</v>
      </c>
      <c r="E589" s="908">
        <v>613400</v>
      </c>
      <c r="F589" s="628" t="s">
        <v>501</v>
      </c>
      <c r="G589" s="1154">
        <v>10000</v>
      </c>
      <c r="H589" s="1154"/>
      <c r="I589" s="1154"/>
      <c r="J589" s="1154">
        <f t="shared" si="115"/>
        <v>10000</v>
      </c>
      <c r="K589" s="1154">
        <v>0</v>
      </c>
      <c r="L589" s="1154"/>
      <c r="M589" s="1154"/>
      <c r="N589" s="1154">
        <f t="shared" si="116"/>
        <v>0</v>
      </c>
      <c r="O589" s="1154">
        <f t="shared" si="117"/>
        <v>10000</v>
      </c>
      <c r="P589" s="1155">
        <f t="shared" si="118"/>
        <v>10000</v>
      </c>
    </row>
    <row r="590" spans="1:16" ht="38.25" customHeight="1">
      <c r="A590" s="625" t="s">
        <v>397</v>
      </c>
      <c r="B590" s="595" t="s">
        <v>390</v>
      </c>
      <c r="C590" s="691" t="s">
        <v>391</v>
      </c>
      <c r="D590" s="889">
        <v>161</v>
      </c>
      <c r="E590" s="908">
        <v>613720</v>
      </c>
      <c r="F590" s="628" t="s">
        <v>530</v>
      </c>
      <c r="G590" s="1154">
        <v>4000</v>
      </c>
      <c r="H590" s="1154"/>
      <c r="I590" s="1154"/>
      <c r="J590" s="1154">
        <f t="shared" si="115"/>
        <v>4000</v>
      </c>
      <c r="K590" s="1154">
        <v>0</v>
      </c>
      <c r="L590" s="1154"/>
      <c r="M590" s="1154"/>
      <c r="N590" s="1154">
        <f t="shared" si="116"/>
        <v>0</v>
      </c>
      <c r="O590" s="1154">
        <f t="shared" si="117"/>
        <v>4000</v>
      </c>
      <c r="P590" s="1155">
        <f t="shared" si="118"/>
        <v>4000</v>
      </c>
    </row>
    <row r="591" spans="1:16" ht="36.75" customHeight="1">
      <c r="A591" s="625" t="s">
        <v>397</v>
      </c>
      <c r="B591" s="595" t="s">
        <v>390</v>
      </c>
      <c r="C591" s="691" t="s">
        <v>391</v>
      </c>
      <c r="D591" s="889">
        <v>161</v>
      </c>
      <c r="E591" s="908">
        <v>613910</v>
      </c>
      <c r="F591" s="628" t="s">
        <v>502</v>
      </c>
      <c r="G591" s="1154">
        <v>5000</v>
      </c>
      <c r="H591" s="1154"/>
      <c r="I591" s="1154"/>
      <c r="J591" s="1154">
        <f t="shared" si="115"/>
        <v>5000</v>
      </c>
      <c r="K591" s="1154">
        <v>0</v>
      </c>
      <c r="L591" s="1154"/>
      <c r="M591" s="1154"/>
      <c r="N591" s="1154">
        <f t="shared" si="116"/>
        <v>0</v>
      </c>
      <c r="O591" s="1154">
        <f t="shared" si="117"/>
        <v>5000</v>
      </c>
      <c r="P591" s="1155">
        <f t="shared" si="118"/>
        <v>5000</v>
      </c>
    </row>
    <row r="592" spans="1:16" ht="39.75" customHeight="1">
      <c r="A592" s="625" t="s">
        <v>397</v>
      </c>
      <c r="B592" s="595" t="s">
        <v>390</v>
      </c>
      <c r="C592" s="691" t="s">
        <v>391</v>
      </c>
      <c r="D592" s="889">
        <v>161</v>
      </c>
      <c r="E592" s="930">
        <v>613934</v>
      </c>
      <c r="F592" s="628" t="s">
        <v>540</v>
      </c>
      <c r="G592" s="1154">
        <v>10000</v>
      </c>
      <c r="H592" s="1154"/>
      <c r="I592" s="1154"/>
      <c r="J592" s="1154">
        <f t="shared" si="115"/>
        <v>10000</v>
      </c>
      <c r="K592" s="1154">
        <v>0</v>
      </c>
      <c r="L592" s="1154"/>
      <c r="M592" s="1154"/>
      <c r="N592" s="1154">
        <f t="shared" si="116"/>
        <v>0</v>
      </c>
      <c r="O592" s="1154">
        <f t="shared" si="117"/>
        <v>10000</v>
      </c>
      <c r="P592" s="1155">
        <f t="shared" si="118"/>
        <v>10000</v>
      </c>
    </row>
    <row r="593" spans="1:16" ht="39.75" customHeight="1">
      <c r="A593" s="625" t="s">
        <v>397</v>
      </c>
      <c r="B593" s="595" t="s">
        <v>390</v>
      </c>
      <c r="C593" s="691" t="s">
        <v>391</v>
      </c>
      <c r="D593" s="889">
        <v>161</v>
      </c>
      <c r="E593" s="580" t="s">
        <v>621</v>
      </c>
      <c r="F593" s="943" t="s">
        <v>517</v>
      </c>
      <c r="G593" s="1181">
        <v>5000</v>
      </c>
      <c r="H593" s="1181"/>
      <c r="I593" s="1181"/>
      <c r="J593" s="1154">
        <f t="shared" si="115"/>
        <v>5000</v>
      </c>
      <c r="K593" s="1181">
        <v>0</v>
      </c>
      <c r="L593" s="1181"/>
      <c r="M593" s="1181"/>
      <c r="N593" s="1154">
        <f t="shared" si="116"/>
        <v>0</v>
      </c>
      <c r="O593" s="1181">
        <f t="shared" si="117"/>
        <v>5000</v>
      </c>
      <c r="P593" s="1155">
        <f t="shared" si="118"/>
        <v>5000</v>
      </c>
    </row>
    <row r="594" spans="1:16" ht="42.75" customHeight="1">
      <c r="A594" s="892"/>
      <c r="B594" s="893"/>
      <c r="C594" s="924"/>
      <c r="D594" s="925"/>
      <c r="E594" s="635">
        <v>820000</v>
      </c>
      <c r="F594" s="926" t="s">
        <v>527</v>
      </c>
      <c r="G594" s="1158"/>
      <c r="H594" s="1158"/>
      <c r="I594" s="1158"/>
      <c r="J594" s="1158"/>
      <c r="K594" s="1158"/>
      <c r="L594" s="1158"/>
      <c r="M594" s="1158"/>
      <c r="N594" s="1158"/>
      <c r="O594" s="1158"/>
      <c r="P594" s="1159"/>
    </row>
    <row r="595" spans="1:16" ht="42.75" customHeight="1" thickBot="1">
      <c r="A595" s="1080" t="s">
        <v>397</v>
      </c>
      <c r="B595" s="1081" t="s">
        <v>390</v>
      </c>
      <c r="C595" s="1081" t="s">
        <v>391</v>
      </c>
      <c r="D595" s="889">
        <v>161</v>
      </c>
      <c r="E595" s="596">
        <v>821100</v>
      </c>
      <c r="F595" s="663" t="s">
        <v>827</v>
      </c>
      <c r="G595" s="1154">
        <v>0</v>
      </c>
      <c r="H595" s="1154"/>
      <c r="I595" s="1154"/>
      <c r="J595" s="1154">
        <f>G595+H595-I595</f>
        <v>0</v>
      </c>
      <c r="K595" s="1154">
        <v>0</v>
      </c>
      <c r="L595" s="1154"/>
      <c r="M595" s="1154"/>
      <c r="N595" s="1154">
        <f>K595+L595-M595</f>
        <v>0</v>
      </c>
      <c r="O595" s="1154">
        <f>G595+K595</f>
        <v>0</v>
      </c>
      <c r="P595" s="1155">
        <f>J595+N595</f>
        <v>0</v>
      </c>
    </row>
    <row r="596" spans="1:16" ht="39.75" customHeight="1">
      <c r="A596" s="1311" t="s">
        <v>397</v>
      </c>
      <c r="B596" s="1312" t="s">
        <v>390</v>
      </c>
      <c r="C596" s="1336" t="s">
        <v>391</v>
      </c>
      <c r="D596" s="1352">
        <v>161</v>
      </c>
      <c r="E596" s="1355">
        <v>821300</v>
      </c>
      <c r="F596" s="1356" t="s">
        <v>528</v>
      </c>
      <c r="G596" s="1315">
        <v>10000</v>
      </c>
      <c r="H596" s="1315"/>
      <c r="I596" s="1315">
        <v>10000</v>
      </c>
      <c r="J596" s="1315">
        <f>G596+H596-I596</f>
        <v>0</v>
      </c>
      <c r="K596" s="1315">
        <v>0</v>
      </c>
      <c r="L596" s="1315"/>
      <c r="M596" s="1315"/>
      <c r="N596" s="1315">
        <f>K596+L596-M596</f>
        <v>0</v>
      </c>
      <c r="O596" s="1315">
        <f>G596+K596</f>
        <v>10000</v>
      </c>
      <c r="P596" s="1316">
        <f>J596+N596</f>
        <v>0</v>
      </c>
    </row>
    <row r="597" spans="1:16" ht="38.25" customHeight="1">
      <c r="A597" s="1311" t="s">
        <v>397</v>
      </c>
      <c r="B597" s="1312" t="s">
        <v>390</v>
      </c>
      <c r="C597" s="1336" t="s">
        <v>391</v>
      </c>
      <c r="D597" s="1352">
        <v>161</v>
      </c>
      <c r="E597" s="1357">
        <v>821500</v>
      </c>
      <c r="F597" s="1358" t="s">
        <v>1010</v>
      </c>
      <c r="G597" s="1315">
        <v>5000</v>
      </c>
      <c r="H597" s="1350"/>
      <c r="I597" s="1350">
        <v>5000</v>
      </c>
      <c r="J597" s="1315">
        <f>G597+H597-I597</f>
        <v>0</v>
      </c>
      <c r="K597" s="1350">
        <v>0</v>
      </c>
      <c r="L597" s="1350"/>
      <c r="M597" s="1350"/>
      <c r="N597" s="1315">
        <f>K597+L597-M597</f>
        <v>0</v>
      </c>
      <c r="O597" s="1315">
        <f>G597+K597</f>
        <v>5000</v>
      </c>
      <c r="P597" s="1316">
        <f>J597+N597</f>
        <v>0</v>
      </c>
    </row>
    <row r="598" spans="1:16" ht="82.5" customHeight="1" thickBot="1">
      <c r="A598" s="638"/>
      <c r="B598" s="639"/>
      <c r="C598" s="639"/>
      <c r="D598" s="639"/>
      <c r="E598" s="1294"/>
      <c r="F598" s="640" t="s">
        <v>893</v>
      </c>
      <c r="G598" s="1160">
        <f aca="true" t="shared" si="119" ref="G598:P598">SUM(G584:G597)</f>
        <v>893000</v>
      </c>
      <c r="H598" s="1160">
        <f t="shared" si="119"/>
        <v>0</v>
      </c>
      <c r="I598" s="1160">
        <f t="shared" si="119"/>
        <v>15000</v>
      </c>
      <c r="J598" s="1160">
        <f t="shared" si="119"/>
        <v>878000</v>
      </c>
      <c r="K598" s="1160">
        <f t="shared" si="119"/>
        <v>0</v>
      </c>
      <c r="L598" s="1160">
        <f t="shared" si="119"/>
        <v>0</v>
      </c>
      <c r="M598" s="1160">
        <f t="shared" si="119"/>
        <v>0</v>
      </c>
      <c r="N598" s="1160">
        <f t="shared" si="119"/>
        <v>0</v>
      </c>
      <c r="O598" s="1161">
        <f t="shared" si="119"/>
        <v>893000</v>
      </c>
      <c r="P598" s="1162">
        <f t="shared" si="119"/>
        <v>878000</v>
      </c>
    </row>
    <row r="599" spans="1:16" ht="55.5" customHeight="1">
      <c r="A599" s="552"/>
      <c r="B599" s="553"/>
      <c r="C599" s="553"/>
      <c r="D599" s="420"/>
      <c r="E599" s="750"/>
      <c r="F599" s="518" t="s">
        <v>1142</v>
      </c>
      <c r="G599" s="1175"/>
      <c r="H599" s="1175"/>
      <c r="I599" s="1175"/>
      <c r="J599" s="1175"/>
      <c r="K599" s="1175"/>
      <c r="L599" s="1175"/>
      <c r="M599" s="1175"/>
      <c r="N599" s="1175"/>
      <c r="O599" s="1175"/>
      <c r="P599" s="1176"/>
    </row>
    <row r="600" spans="1:16" ht="52.5" customHeight="1">
      <c r="A600" s="552"/>
      <c r="B600" s="553"/>
      <c r="C600" s="553"/>
      <c r="D600" s="420"/>
      <c r="E600" s="750"/>
      <c r="F600" s="473" t="s">
        <v>1076</v>
      </c>
      <c r="G600" s="1177"/>
      <c r="H600" s="1177"/>
      <c r="I600" s="1177"/>
      <c r="J600" s="1177"/>
      <c r="K600" s="1177"/>
      <c r="L600" s="1177"/>
      <c r="M600" s="1177"/>
      <c r="N600" s="1177"/>
      <c r="O600" s="1177">
        <v>30</v>
      </c>
      <c r="P600" s="1178"/>
    </row>
    <row r="601" spans="1:16" s="519" customFormat="1" ht="44.25" customHeight="1" thickBot="1">
      <c r="A601" s="585"/>
      <c r="B601" s="475"/>
      <c r="C601" s="475"/>
      <c r="D601" s="477"/>
      <c r="E601" s="978"/>
      <c r="F601" s="515" t="s">
        <v>834</v>
      </c>
      <c r="G601" s="1201"/>
      <c r="H601" s="1201"/>
      <c r="I601" s="1201"/>
      <c r="J601" s="1201"/>
      <c r="K601" s="1201"/>
      <c r="L601" s="1201"/>
      <c r="M601" s="1201"/>
      <c r="N601" s="1201"/>
      <c r="O601" s="1201">
        <v>34</v>
      </c>
      <c r="P601" s="1202"/>
    </row>
    <row r="602" spans="1:16" ht="276.75" customHeight="1">
      <c r="A602" s="401" t="s">
        <v>494</v>
      </c>
      <c r="B602" s="402" t="s">
        <v>495</v>
      </c>
      <c r="C602" s="403" t="s">
        <v>687</v>
      </c>
      <c r="D602" s="404" t="s">
        <v>497</v>
      </c>
      <c r="E602" s="404" t="s">
        <v>188</v>
      </c>
      <c r="F602" s="405" t="s">
        <v>496</v>
      </c>
      <c r="G602" s="813" t="s">
        <v>1322</v>
      </c>
      <c r="H602" s="813" t="s">
        <v>1324</v>
      </c>
      <c r="I602" s="813" t="s">
        <v>1325</v>
      </c>
      <c r="J602" s="813" t="s">
        <v>1326</v>
      </c>
      <c r="K602" s="813" t="s">
        <v>1323</v>
      </c>
      <c r="L602" s="813" t="s">
        <v>1327</v>
      </c>
      <c r="M602" s="813" t="s">
        <v>1328</v>
      </c>
      <c r="N602" s="813" t="s">
        <v>1329</v>
      </c>
      <c r="O602" s="1278" t="s">
        <v>1321</v>
      </c>
      <c r="P602" s="1149" t="s">
        <v>1330</v>
      </c>
    </row>
    <row r="603" spans="1:16" ht="26.25" customHeight="1">
      <c r="A603" s="1533">
        <v>0</v>
      </c>
      <c r="B603" s="1534"/>
      <c r="C603" s="1534"/>
      <c r="D603" s="409">
        <v>1</v>
      </c>
      <c r="E603" s="409">
        <v>2</v>
      </c>
      <c r="F603" s="410">
        <v>3</v>
      </c>
      <c r="G603" s="1150">
        <v>4</v>
      </c>
      <c r="H603" s="1150">
        <v>5</v>
      </c>
      <c r="I603" s="1150">
        <v>6</v>
      </c>
      <c r="J603" s="1150">
        <v>7</v>
      </c>
      <c r="K603" s="1150">
        <v>8</v>
      </c>
      <c r="L603" s="1150">
        <v>9</v>
      </c>
      <c r="M603" s="1150">
        <v>10</v>
      </c>
      <c r="N603" s="1150">
        <v>11</v>
      </c>
      <c r="O603" s="1150">
        <v>12</v>
      </c>
      <c r="P603" s="1151">
        <v>13</v>
      </c>
    </row>
    <row r="604" spans="1:16" ht="44.25" customHeight="1">
      <c r="A604" s="824" t="s">
        <v>397</v>
      </c>
      <c r="B604" s="484"/>
      <c r="C604" s="484"/>
      <c r="D604" s="413"/>
      <c r="E604" s="413"/>
      <c r="F604" s="566" t="s">
        <v>891</v>
      </c>
      <c r="G604" s="415"/>
      <c r="H604" s="415"/>
      <c r="I604" s="415"/>
      <c r="J604" s="415"/>
      <c r="K604" s="415"/>
      <c r="L604" s="415"/>
      <c r="M604" s="415"/>
      <c r="N604" s="415"/>
      <c r="O604" s="415"/>
      <c r="P604" s="1152"/>
    </row>
    <row r="605" spans="1:16" ht="44.25" customHeight="1">
      <c r="A605" s="825" t="s">
        <v>397</v>
      </c>
      <c r="B605" s="489" t="s">
        <v>390</v>
      </c>
      <c r="C605" s="489"/>
      <c r="D605" s="420"/>
      <c r="E605" s="420"/>
      <c r="F605" s="492" t="s">
        <v>894</v>
      </c>
      <c r="G605" s="422"/>
      <c r="H605" s="422"/>
      <c r="I605" s="422"/>
      <c r="J605" s="422"/>
      <c r="K605" s="422"/>
      <c r="L605" s="422"/>
      <c r="M605" s="422"/>
      <c r="N605" s="422"/>
      <c r="O605" s="422"/>
      <c r="P605" s="1153"/>
    </row>
    <row r="606" spans="1:16" ht="44.25" customHeight="1">
      <c r="A606" s="424"/>
      <c r="B606" s="425"/>
      <c r="C606" s="425"/>
      <c r="D606" s="419"/>
      <c r="E606" s="426">
        <v>610000</v>
      </c>
      <c r="F606" s="427" t="s">
        <v>513</v>
      </c>
      <c r="G606" s="422"/>
      <c r="H606" s="422"/>
      <c r="I606" s="422"/>
      <c r="J606" s="422"/>
      <c r="K606" s="422"/>
      <c r="L606" s="422"/>
      <c r="M606" s="422"/>
      <c r="N606" s="422"/>
      <c r="O606" s="422"/>
      <c r="P606" s="1153"/>
    </row>
    <row r="607" spans="1:16" ht="44.25" customHeight="1">
      <c r="A607" s="424"/>
      <c r="B607" s="425"/>
      <c r="C607" s="425"/>
      <c r="D607" s="419"/>
      <c r="E607" s="426"/>
      <c r="F607" s="427"/>
      <c r="G607" s="422"/>
      <c r="H607" s="422"/>
      <c r="I607" s="422"/>
      <c r="J607" s="422"/>
      <c r="K607" s="422"/>
      <c r="L607" s="422"/>
      <c r="M607" s="422"/>
      <c r="N607" s="422"/>
      <c r="O607" s="422"/>
      <c r="P607" s="1153"/>
    </row>
    <row r="608" spans="1:16" s="1030" customFormat="1" ht="44.25" customHeight="1">
      <c r="A608" s="1064" t="s">
        <v>397</v>
      </c>
      <c r="B608" s="571" t="s">
        <v>390</v>
      </c>
      <c r="C608" s="571" t="s">
        <v>42</v>
      </c>
      <c r="D608" s="590">
        <v>161</v>
      </c>
      <c r="E608" s="1065">
        <v>613210</v>
      </c>
      <c r="F608" s="1066" t="s">
        <v>660</v>
      </c>
      <c r="G608" s="1154">
        <v>0</v>
      </c>
      <c r="H608" s="1154"/>
      <c r="I608" s="1154"/>
      <c r="J608" s="1154">
        <f>G608+H608-I608</f>
        <v>0</v>
      </c>
      <c r="K608" s="1154">
        <v>0</v>
      </c>
      <c r="L608" s="1154"/>
      <c r="M608" s="1154"/>
      <c r="N608" s="1154">
        <f>K608+L608-M608</f>
        <v>0</v>
      </c>
      <c r="O608" s="1154">
        <f>G608+K608</f>
        <v>0</v>
      </c>
      <c r="P608" s="1155">
        <f>J608+N608</f>
        <v>0</v>
      </c>
    </row>
    <row r="609" spans="1:16" s="1030" customFormat="1" ht="44.25" customHeight="1">
      <c r="A609" s="1064" t="s">
        <v>397</v>
      </c>
      <c r="B609" s="571" t="s">
        <v>390</v>
      </c>
      <c r="C609" s="571" t="s">
        <v>42</v>
      </c>
      <c r="D609" s="590">
        <v>161</v>
      </c>
      <c r="E609" s="590" t="s">
        <v>651</v>
      </c>
      <c r="F609" s="1067" t="s">
        <v>652</v>
      </c>
      <c r="G609" s="1154">
        <v>0</v>
      </c>
      <c r="H609" s="1154"/>
      <c r="I609" s="1154"/>
      <c r="J609" s="1154">
        <f>G609+H609-I609</f>
        <v>0</v>
      </c>
      <c r="K609" s="1154">
        <v>0</v>
      </c>
      <c r="L609" s="1154"/>
      <c r="M609" s="1154"/>
      <c r="N609" s="1154">
        <f>K609+L609-M609</f>
        <v>0</v>
      </c>
      <c r="O609" s="1154">
        <f>G609+K609</f>
        <v>0</v>
      </c>
      <c r="P609" s="1155">
        <f>J609+N609</f>
        <v>0</v>
      </c>
    </row>
    <row r="610" spans="1:16" ht="44.25" customHeight="1">
      <c r="A610" s="1028" t="s">
        <v>397</v>
      </c>
      <c r="B610" s="905" t="s">
        <v>390</v>
      </c>
      <c r="C610" s="571" t="s">
        <v>42</v>
      </c>
      <c r="D610" s="590">
        <v>161</v>
      </c>
      <c r="E610" s="590">
        <v>613997</v>
      </c>
      <c r="F610" s="927" t="s">
        <v>189</v>
      </c>
      <c r="G610" s="1156">
        <v>0</v>
      </c>
      <c r="H610" s="1156"/>
      <c r="I610" s="1156"/>
      <c r="J610" s="1154">
        <f>G610+H610-I610</f>
        <v>0</v>
      </c>
      <c r="K610" s="1156">
        <v>0</v>
      </c>
      <c r="L610" s="1156"/>
      <c r="M610" s="1156"/>
      <c r="N610" s="1154">
        <f>K610+L610-M610</f>
        <v>0</v>
      </c>
      <c r="O610" s="1156">
        <f>G610+K610</f>
        <v>0</v>
      </c>
      <c r="P610" s="1155">
        <f>J610+N610</f>
        <v>0</v>
      </c>
    </row>
    <row r="611" spans="1:16" ht="59.25" customHeight="1" thickBot="1">
      <c r="A611" s="1068"/>
      <c r="B611" s="1069"/>
      <c r="C611" s="1069"/>
      <c r="D611" s="1070"/>
      <c r="E611" s="1071"/>
      <c r="F611" s="1046" t="s">
        <v>892</v>
      </c>
      <c r="G611" s="1160">
        <f aca="true" t="shared" si="120" ref="G611:P611">SUM(G608:G610,)</f>
        <v>0</v>
      </c>
      <c r="H611" s="1160">
        <f t="shared" si="120"/>
        <v>0</v>
      </c>
      <c r="I611" s="1160">
        <f t="shared" si="120"/>
        <v>0</v>
      </c>
      <c r="J611" s="1160">
        <f t="shared" si="120"/>
        <v>0</v>
      </c>
      <c r="K611" s="1160">
        <f t="shared" si="120"/>
        <v>0</v>
      </c>
      <c r="L611" s="1160">
        <f t="shared" si="120"/>
        <v>0</v>
      </c>
      <c r="M611" s="1160">
        <f t="shared" si="120"/>
        <v>0</v>
      </c>
      <c r="N611" s="1160">
        <f t="shared" si="120"/>
        <v>0</v>
      </c>
      <c r="O611" s="1161">
        <f t="shared" si="120"/>
        <v>0</v>
      </c>
      <c r="P611" s="1162">
        <f t="shared" si="120"/>
        <v>0</v>
      </c>
    </row>
    <row r="612" spans="1:16" ht="266.25" customHeight="1">
      <c r="A612" s="401" t="s">
        <v>494</v>
      </c>
      <c r="B612" s="402" t="s">
        <v>495</v>
      </c>
      <c r="C612" s="403" t="s">
        <v>687</v>
      </c>
      <c r="D612" s="404" t="s">
        <v>497</v>
      </c>
      <c r="E612" s="404" t="s">
        <v>188</v>
      </c>
      <c r="F612" s="405" t="s">
        <v>496</v>
      </c>
      <c r="G612" s="813" t="s">
        <v>1322</v>
      </c>
      <c r="H612" s="813" t="s">
        <v>1324</v>
      </c>
      <c r="I612" s="813" t="s">
        <v>1325</v>
      </c>
      <c r="J612" s="813" t="s">
        <v>1326</v>
      </c>
      <c r="K612" s="813" t="s">
        <v>1323</v>
      </c>
      <c r="L612" s="813" t="s">
        <v>1327</v>
      </c>
      <c r="M612" s="813" t="s">
        <v>1328</v>
      </c>
      <c r="N612" s="813" t="s">
        <v>1329</v>
      </c>
      <c r="O612" s="1278" t="s">
        <v>1321</v>
      </c>
      <c r="P612" s="1149" t="s">
        <v>1330</v>
      </c>
    </row>
    <row r="613" spans="1:16" ht="29.25" customHeight="1">
      <c r="A613" s="1533">
        <v>0</v>
      </c>
      <c r="B613" s="1534"/>
      <c r="C613" s="1534"/>
      <c r="D613" s="409">
        <v>1</v>
      </c>
      <c r="E613" s="409">
        <v>2</v>
      </c>
      <c r="F613" s="410">
        <v>3</v>
      </c>
      <c r="G613" s="1150">
        <v>4</v>
      </c>
      <c r="H613" s="1150">
        <v>5</v>
      </c>
      <c r="I613" s="1150">
        <v>6</v>
      </c>
      <c r="J613" s="1150">
        <v>7</v>
      </c>
      <c r="K613" s="1150">
        <v>8</v>
      </c>
      <c r="L613" s="1150">
        <v>9</v>
      </c>
      <c r="M613" s="1150">
        <v>10</v>
      </c>
      <c r="N613" s="1150">
        <v>11</v>
      </c>
      <c r="O613" s="1150">
        <v>12</v>
      </c>
      <c r="P613" s="1151">
        <v>13</v>
      </c>
    </row>
    <row r="614" spans="1:16" ht="63.75" customHeight="1">
      <c r="A614" s="824" t="s">
        <v>397</v>
      </c>
      <c r="B614" s="484"/>
      <c r="C614" s="484"/>
      <c r="D614" s="413"/>
      <c r="E614" s="413"/>
      <c r="F614" s="566" t="s">
        <v>891</v>
      </c>
      <c r="G614" s="415"/>
      <c r="H614" s="415"/>
      <c r="I614" s="415"/>
      <c r="J614" s="415"/>
      <c r="K614" s="415"/>
      <c r="L614" s="415"/>
      <c r="M614" s="415"/>
      <c r="N614" s="415"/>
      <c r="O614" s="415"/>
      <c r="P614" s="1152"/>
    </row>
    <row r="615" spans="1:16" ht="48.75" customHeight="1">
      <c r="A615" s="825" t="s">
        <v>397</v>
      </c>
      <c r="B615" s="1118" t="s">
        <v>392</v>
      </c>
      <c r="C615" s="489"/>
      <c r="D615" s="420"/>
      <c r="E615" s="420"/>
      <c r="F615" s="492" t="s">
        <v>1176</v>
      </c>
      <c r="G615" s="422"/>
      <c r="H615" s="422"/>
      <c r="I615" s="422"/>
      <c r="J615" s="422"/>
      <c r="K615" s="422"/>
      <c r="L615" s="422"/>
      <c r="M615" s="422"/>
      <c r="N615" s="422"/>
      <c r="O615" s="422"/>
      <c r="P615" s="1153"/>
    </row>
    <row r="616" spans="1:16" ht="51.75" customHeight="1">
      <c r="A616" s="424"/>
      <c r="B616" s="425"/>
      <c r="C616" s="425"/>
      <c r="D616" s="419"/>
      <c r="E616" s="426">
        <v>820000</v>
      </c>
      <c r="F616" s="427" t="s">
        <v>1177</v>
      </c>
      <c r="G616" s="422"/>
      <c r="H616" s="422"/>
      <c r="I616" s="422"/>
      <c r="J616" s="422"/>
      <c r="K616" s="422"/>
      <c r="L616" s="422"/>
      <c r="M616" s="422"/>
      <c r="N616" s="422"/>
      <c r="O616" s="422"/>
      <c r="P616" s="1153"/>
    </row>
    <row r="617" spans="1:16" ht="18.75" customHeight="1">
      <c r="A617" s="424"/>
      <c r="B617" s="425"/>
      <c r="C617" s="425"/>
      <c r="D617" s="419"/>
      <c r="E617" s="426"/>
      <c r="F617" s="427"/>
      <c r="G617" s="422"/>
      <c r="H617" s="422"/>
      <c r="I617" s="422"/>
      <c r="J617" s="422"/>
      <c r="K617" s="422"/>
      <c r="L617" s="422"/>
      <c r="M617" s="422"/>
      <c r="N617" s="422"/>
      <c r="O617" s="422"/>
      <c r="P617" s="1153"/>
    </row>
    <row r="618" spans="1:16" ht="32.25" customHeight="1">
      <c r="A618" s="1064" t="s">
        <v>397</v>
      </c>
      <c r="B618" s="1121" t="s">
        <v>392</v>
      </c>
      <c r="C618" s="1121" t="s">
        <v>391</v>
      </c>
      <c r="D618" s="590">
        <v>161</v>
      </c>
      <c r="E618" s="590">
        <v>821100</v>
      </c>
      <c r="F618" s="662" t="s">
        <v>827</v>
      </c>
      <c r="G618" s="1154">
        <v>290500</v>
      </c>
      <c r="H618" s="1154"/>
      <c r="I618" s="1154"/>
      <c r="J618" s="1154">
        <f>G618+H618-I618</f>
        <v>290500</v>
      </c>
      <c r="K618" s="1154">
        <v>0</v>
      </c>
      <c r="L618" s="1154"/>
      <c r="M618" s="1154"/>
      <c r="N618" s="1154">
        <f>K618+L618-M618</f>
        <v>0</v>
      </c>
      <c r="O618" s="1154">
        <f>G618+K618</f>
        <v>290500</v>
      </c>
      <c r="P618" s="1155">
        <f>J618+N618</f>
        <v>290500</v>
      </c>
    </row>
    <row r="619" spans="1:16" ht="63.75" customHeight="1" thickBot="1">
      <c r="A619" s="1068"/>
      <c r="B619" s="1069"/>
      <c r="C619" s="1069"/>
      <c r="D619" s="1070"/>
      <c r="E619" s="1071"/>
      <c r="F619" s="1046" t="s">
        <v>1103</v>
      </c>
      <c r="G619" s="1160">
        <f aca="true" t="shared" si="121" ref="G619:P619">SUM(G618)</f>
        <v>290500</v>
      </c>
      <c r="H619" s="1160">
        <f t="shared" si="121"/>
        <v>0</v>
      </c>
      <c r="I619" s="1160">
        <f t="shared" si="121"/>
        <v>0</v>
      </c>
      <c r="J619" s="1160">
        <f t="shared" si="121"/>
        <v>290500</v>
      </c>
      <c r="K619" s="1160">
        <f t="shared" si="121"/>
        <v>0</v>
      </c>
      <c r="L619" s="1160">
        <f t="shared" si="121"/>
        <v>0</v>
      </c>
      <c r="M619" s="1160">
        <f t="shared" si="121"/>
        <v>0</v>
      </c>
      <c r="N619" s="1160">
        <f t="shared" si="121"/>
        <v>0</v>
      </c>
      <c r="O619" s="1161">
        <f t="shared" si="121"/>
        <v>290500</v>
      </c>
      <c r="P619" s="1162">
        <f t="shared" si="121"/>
        <v>290500</v>
      </c>
    </row>
    <row r="620" spans="1:16" ht="63.75" customHeight="1" thickBot="1">
      <c r="A620" s="645"/>
      <c r="B620" s="646"/>
      <c r="C620" s="646"/>
      <c r="D620" s="979"/>
      <c r="E620" s="980"/>
      <c r="F620" s="558" t="s">
        <v>895</v>
      </c>
      <c r="G620" s="1186">
        <f aca="true" t="shared" si="122" ref="G620:P620">SUM(G619,G611,G598)</f>
        <v>1183500</v>
      </c>
      <c r="H620" s="1186">
        <f t="shared" si="122"/>
        <v>0</v>
      </c>
      <c r="I620" s="1186">
        <f t="shared" si="122"/>
        <v>15000</v>
      </c>
      <c r="J620" s="1186">
        <f t="shared" si="122"/>
        <v>1168500</v>
      </c>
      <c r="K620" s="1186">
        <f t="shared" si="122"/>
        <v>0</v>
      </c>
      <c r="L620" s="1186">
        <f t="shared" si="122"/>
        <v>0</v>
      </c>
      <c r="M620" s="1186">
        <f t="shared" si="122"/>
        <v>0</v>
      </c>
      <c r="N620" s="1186">
        <f t="shared" si="122"/>
        <v>0</v>
      </c>
      <c r="O620" s="1187">
        <f t="shared" si="122"/>
        <v>1183500</v>
      </c>
      <c r="P620" s="1188">
        <f t="shared" si="122"/>
        <v>1168500</v>
      </c>
    </row>
    <row r="621" spans="1:16" s="527" customFormat="1" ht="280.5" customHeight="1">
      <c r="A621" s="819" t="s">
        <v>494</v>
      </c>
      <c r="B621" s="820" t="s">
        <v>495</v>
      </c>
      <c r="C621" s="821" t="s">
        <v>677</v>
      </c>
      <c r="D621" s="822" t="s">
        <v>497</v>
      </c>
      <c r="E621" s="822" t="s">
        <v>188</v>
      </c>
      <c r="F621" s="823" t="s">
        <v>496</v>
      </c>
      <c r="G621" s="813" t="s">
        <v>1322</v>
      </c>
      <c r="H621" s="813" t="s">
        <v>1324</v>
      </c>
      <c r="I621" s="813" t="s">
        <v>1325</v>
      </c>
      <c r="J621" s="813" t="s">
        <v>1326</v>
      </c>
      <c r="K621" s="813" t="s">
        <v>1323</v>
      </c>
      <c r="L621" s="813" t="s">
        <v>1327</v>
      </c>
      <c r="M621" s="813" t="s">
        <v>1328</v>
      </c>
      <c r="N621" s="813" t="s">
        <v>1329</v>
      </c>
      <c r="O621" s="1278" t="s">
        <v>1321</v>
      </c>
      <c r="P621" s="1149" t="s">
        <v>1330</v>
      </c>
    </row>
    <row r="622" spans="1:16" ht="21.75" customHeight="1">
      <c r="A622" s="1533">
        <v>0</v>
      </c>
      <c r="B622" s="1534"/>
      <c r="C622" s="1534"/>
      <c r="D622" s="409">
        <v>1</v>
      </c>
      <c r="E622" s="409">
        <v>2</v>
      </c>
      <c r="F622" s="410">
        <v>3</v>
      </c>
      <c r="G622" s="1150">
        <v>4</v>
      </c>
      <c r="H622" s="1150">
        <v>5</v>
      </c>
      <c r="I622" s="1150">
        <v>6</v>
      </c>
      <c r="J622" s="1150">
        <v>7</v>
      </c>
      <c r="K622" s="1150">
        <v>8</v>
      </c>
      <c r="L622" s="1150">
        <v>9</v>
      </c>
      <c r="M622" s="1150">
        <v>10</v>
      </c>
      <c r="N622" s="1150">
        <v>11</v>
      </c>
      <c r="O622" s="1150">
        <v>12</v>
      </c>
      <c r="P622" s="1151">
        <v>13</v>
      </c>
    </row>
    <row r="623" spans="1:16" ht="48" customHeight="1">
      <c r="A623" s="483" t="s">
        <v>398</v>
      </c>
      <c r="B623" s="484"/>
      <c r="C623" s="484"/>
      <c r="D623" s="413"/>
      <c r="E623" s="530"/>
      <c r="F623" s="566" t="s">
        <v>17</v>
      </c>
      <c r="G623" s="415"/>
      <c r="H623" s="415"/>
      <c r="I623" s="415"/>
      <c r="J623" s="415"/>
      <c r="K623" s="415"/>
      <c r="L623" s="415"/>
      <c r="M623" s="415"/>
      <c r="N623" s="415"/>
      <c r="O623" s="415"/>
      <c r="P623" s="1152"/>
    </row>
    <row r="624" spans="1:16" ht="38.25" customHeight="1">
      <c r="A624" s="488" t="s">
        <v>398</v>
      </c>
      <c r="B624" s="489" t="s">
        <v>390</v>
      </c>
      <c r="C624" s="489"/>
      <c r="D624" s="420"/>
      <c r="E624" s="531"/>
      <c r="F624" s="492" t="s">
        <v>18</v>
      </c>
      <c r="G624" s="422"/>
      <c r="H624" s="422"/>
      <c r="I624" s="422"/>
      <c r="J624" s="422"/>
      <c r="K624" s="422"/>
      <c r="L624" s="422"/>
      <c r="M624" s="422"/>
      <c r="N624" s="422"/>
      <c r="O624" s="422"/>
      <c r="P624" s="1153"/>
    </row>
    <row r="625" spans="1:16" ht="38.25" customHeight="1">
      <c r="A625" s="424"/>
      <c r="B625" s="425"/>
      <c r="C625" s="425"/>
      <c r="D625" s="420"/>
      <c r="E625" s="426">
        <v>610000</v>
      </c>
      <c r="F625" s="534" t="s">
        <v>529</v>
      </c>
      <c r="G625" s="422"/>
      <c r="H625" s="422"/>
      <c r="I625" s="422"/>
      <c r="J625" s="422"/>
      <c r="K625" s="422"/>
      <c r="L625" s="422"/>
      <c r="M625" s="422"/>
      <c r="N625" s="422"/>
      <c r="O625" s="422"/>
      <c r="P625" s="1153"/>
    </row>
    <row r="626" spans="1:16" ht="42.75" customHeight="1">
      <c r="A626" s="625" t="s">
        <v>398</v>
      </c>
      <c r="B626" s="595" t="s">
        <v>390</v>
      </c>
      <c r="C626" s="691" t="s">
        <v>391</v>
      </c>
      <c r="D626" s="889">
        <v>161</v>
      </c>
      <c r="E626" s="692">
        <v>611100</v>
      </c>
      <c r="F626" s="626" t="s">
        <v>962</v>
      </c>
      <c r="G626" s="1154">
        <v>933500</v>
      </c>
      <c r="H626" s="1154"/>
      <c r="I626" s="1154"/>
      <c r="J626" s="1154">
        <f aca="true" t="shared" si="123" ref="J626:J635">G626+H626-I626</f>
        <v>933500</v>
      </c>
      <c r="K626" s="1154">
        <v>0</v>
      </c>
      <c r="L626" s="1154"/>
      <c r="M626" s="1154"/>
      <c r="N626" s="1154">
        <f aca="true" t="shared" si="124" ref="N626:N635">K626+L626-M626</f>
        <v>0</v>
      </c>
      <c r="O626" s="1154">
        <f aca="true" t="shared" si="125" ref="O626:O635">G626+K626</f>
        <v>933500</v>
      </c>
      <c r="P626" s="1155">
        <f aca="true" t="shared" si="126" ref="P626:P637">J626+N626</f>
        <v>933500</v>
      </c>
    </row>
    <row r="627" spans="1:16" ht="29.25" customHeight="1">
      <c r="A627" s="625" t="s">
        <v>398</v>
      </c>
      <c r="B627" s="595" t="s">
        <v>390</v>
      </c>
      <c r="C627" s="691" t="s">
        <v>391</v>
      </c>
      <c r="D627" s="889">
        <v>161</v>
      </c>
      <c r="E627" s="596">
        <v>611200</v>
      </c>
      <c r="F627" s="627" t="s">
        <v>514</v>
      </c>
      <c r="G627" s="1154">
        <v>174000</v>
      </c>
      <c r="H627" s="1154"/>
      <c r="I627" s="1154"/>
      <c r="J627" s="1154">
        <f t="shared" si="123"/>
        <v>174000</v>
      </c>
      <c r="K627" s="1154">
        <v>0</v>
      </c>
      <c r="L627" s="1154"/>
      <c r="M627" s="1154"/>
      <c r="N627" s="1154">
        <f t="shared" si="124"/>
        <v>0</v>
      </c>
      <c r="O627" s="1154">
        <f t="shared" si="125"/>
        <v>174000</v>
      </c>
      <c r="P627" s="1155">
        <f t="shared" si="126"/>
        <v>174000</v>
      </c>
    </row>
    <row r="628" spans="1:16" ht="29.25" customHeight="1">
      <c r="A628" s="625" t="s">
        <v>398</v>
      </c>
      <c r="B628" s="595" t="s">
        <v>390</v>
      </c>
      <c r="C628" s="691" t="s">
        <v>391</v>
      </c>
      <c r="D628" s="889">
        <v>161</v>
      </c>
      <c r="E628" s="464">
        <v>612000</v>
      </c>
      <c r="F628" s="627" t="s">
        <v>889</v>
      </c>
      <c r="G628" s="1154">
        <v>102500</v>
      </c>
      <c r="H628" s="1154"/>
      <c r="I628" s="1154"/>
      <c r="J628" s="1154">
        <f t="shared" si="123"/>
        <v>102500</v>
      </c>
      <c r="K628" s="1154">
        <v>0</v>
      </c>
      <c r="L628" s="1154"/>
      <c r="M628" s="1154"/>
      <c r="N628" s="1154">
        <f t="shared" si="124"/>
        <v>0</v>
      </c>
      <c r="O628" s="1154">
        <f t="shared" si="125"/>
        <v>102500</v>
      </c>
      <c r="P628" s="1155">
        <f t="shared" si="126"/>
        <v>102500</v>
      </c>
    </row>
    <row r="629" spans="1:16" ht="29.25" customHeight="1">
      <c r="A629" s="625" t="s">
        <v>398</v>
      </c>
      <c r="B629" s="595" t="s">
        <v>390</v>
      </c>
      <c r="C629" s="691" t="s">
        <v>391</v>
      </c>
      <c r="D629" s="889">
        <v>161</v>
      </c>
      <c r="E629" s="752">
        <v>613100</v>
      </c>
      <c r="F629" s="753" t="s">
        <v>515</v>
      </c>
      <c r="G629" s="1154">
        <v>2000</v>
      </c>
      <c r="H629" s="1154"/>
      <c r="I629" s="1154"/>
      <c r="J629" s="1154">
        <f t="shared" si="123"/>
        <v>2000</v>
      </c>
      <c r="K629" s="1154">
        <v>0</v>
      </c>
      <c r="L629" s="1154"/>
      <c r="M629" s="1154"/>
      <c r="N629" s="1154">
        <f t="shared" si="124"/>
        <v>0</v>
      </c>
      <c r="O629" s="1154">
        <f t="shared" si="125"/>
        <v>2000</v>
      </c>
      <c r="P629" s="1155">
        <f t="shared" si="126"/>
        <v>2000</v>
      </c>
    </row>
    <row r="630" spans="1:16" ht="29.25" customHeight="1">
      <c r="A630" s="625" t="s">
        <v>398</v>
      </c>
      <c r="B630" s="595" t="s">
        <v>390</v>
      </c>
      <c r="C630" s="691" t="s">
        <v>391</v>
      </c>
      <c r="D630" s="889">
        <v>161</v>
      </c>
      <c r="E630" s="692">
        <v>613310</v>
      </c>
      <c r="F630" s="762" t="s">
        <v>616</v>
      </c>
      <c r="G630" s="1154">
        <v>4000</v>
      </c>
      <c r="H630" s="1154"/>
      <c r="I630" s="1154"/>
      <c r="J630" s="1154">
        <f t="shared" si="123"/>
        <v>4000</v>
      </c>
      <c r="K630" s="1154">
        <v>0</v>
      </c>
      <c r="L630" s="1154"/>
      <c r="M630" s="1154"/>
      <c r="N630" s="1154">
        <f t="shared" si="124"/>
        <v>0</v>
      </c>
      <c r="O630" s="1154">
        <f t="shared" si="125"/>
        <v>4000</v>
      </c>
      <c r="P630" s="1155">
        <f t="shared" si="126"/>
        <v>4000</v>
      </c>
    </row>
    <row r="631" spans="1:16" ht="29.25" customHeight="1">
      <c r="A631" s="625" t="s">
        <v>398</v>
      </c>
      <c r="B631" s="595" t="s">
        <v>390</v>
      </c>
      <c r="C631" s="691" t="s">
        <v>391</v>
      </c>
      <c r="D631" s="889">
        <v>161</v>
      </c>
      <c r="E631" s="752">
        <v>613400</v>
      </c>
      <c r="F631" s="753" t="s">
        <v>501</v>
      </c>
      <c r="G631" s="1154">
        <v>5000</v>
      </c>
      <c r="H631" s="1154"/>
      <c r="I631" s="1154"/>
      <c r="J631" s="1154">
        <f t="shared" si="123"/>
        <v>5000</v>
      </c>
      <c r="K631" s="1154">
        <v>0</v>
      </c>
      <c r="L631" s="1154"/>
      <c r="M631" s="1154"/>
      <c r="N631" s="1154">
        <f t="shared" si="124"/>
        <v>0</v>
      </c>
      <c r="O631" s="1154">
        <f t="shared" si="125"/>
        <v>5000</v>
      </c>
      <c r="P631" s="1155">
        <f t="shared" si="126"/>
        <v>5000</v>
      </c>
    </row>
    <row r="632" spans="1:16" ht="29.25" customHeight="1">
      <c r="A632" s="625" t="s">
        <v>398</v>
      </c>
      <c r="B632" s="595" t="s">
        <v>390</v>
      </c>
      <c r="C632" s="691" t="s">
        <v>391</v>
      </c>
      <c r="D632" s="889">
        <v>161</v>
      </c>
      <c r="E632" s="752">
        <v>613720</v>
      </c>
      <c r="F632" s="753" t="s">
        <v>530</v>
      </c>
      <c r="G632" s="1154">
        <v>1000</v>
      </c>
      <c r="H632" s="1154"/>
      <c r="I632" s="1154"/>
      <c r="J632" s="1154">
        <f t="shared" si="123"/>
        <v>1000</v>
      </c>
      <c r="K632" s="1154">
        <v>0</v>
      </c>
      <c r="L632" s="1154"/>
      <c r="M632" s="1154"/>
      <c r="N632" s="1154">
        <f t="shared" si="124"/>
        <v>0</v>
      </c>
      <c r="O632" s="1154">
        <f t="shared" si="125"/>
        <v>1000</v>
      </c>
      <c r="P632" s="1155">
        <f t="shared" si="126"/>
        <v>1000</v>
      </c>
    </row>
    <row r="633" spans="1:16" ht="29.25" customHeight="1">
      <c r="A633" s="625" t="s">
        <v>398</v>
      </c>
      <c r="B633" s="595" t="s">
        <v>390</v>
      </c>
      <c r="C633" s="691" t="s">
        <v>391</v>
      </c>
      <c r="D633" s="889">
        <v>361</v>
      </c>
      <c r="E633" s="930" t="s">
        <v>1003</v>
      </c>
      <c r="F633" s="753" t="s">
        <v>1004</v>
      </c>
      <c r="G633" s="1154">
        <v>30000</v>
      </c>
      <c r="H633" s="1154"/>
      <c r="I633" s="1154"/>
      <c r="J633" s="1154">
        <f t="shared" si="123"/>
        <v>30000</v>
      </c>
      <c r="K633" s="1154">
        <v>0</v>
      </c>
      <c r="L633" s="1154"/>
      <c r="M633" s="1154"/>
      <c r="N633" s="1154">
        <f t="shared" si="124"/>
        <v>0</v>
      </c>
      <c r="O633" s="1154">
        <f t="shared" si="125"/>
        <v>30000</v>
      </c>
      <c r="P633" s="1155">
        <f t="shared" si="126"/>
        <v>30000</v>
      </c>
    </row>
    <row r="634" spans="1:16" ht="29.25" customHeight="1">
      <c r="A634" s="625" t="s">
        <v>398</v>
      </c>
      <c r="B634" s="595" t="s">
        <v>390</v>
      </c>
      <c r="C634" s="691" t="s">
        <v>391</v>
      </c>
      <c r="D634" s="889">
        <v>161</v>
      </c>
      <c r="E634" s="930">
        <v>613910</v>
      </c>
      <c r="F634" s="753" t="s">
        <v>502</v>
      </c>
      <c r="G634" s="1154">
        <v>3000</v>
      </c>
      <c r="H634" s="1154"/>
      <c r="I634" s="1154"/>
      <c r="J634" s="1154">
        <f t="shared" si="123"/>
        <v>3000</v>
      </c>
      <c r="K634" s="1154">
        <v>0</v>
      </c>
      <c r="L634" s="1154"/>
      <c r="M634" s="1154"/>
      <c r="N634" s="1154">
        <f t="shared" si="124"/>
        <v>0</v>
      </c>
      <c r="O634" s="1154">
        <f t="shared" si="125"/>
        <v>3000</v>
      </c>
      <c r="P634" s="1155">
        <f t="shared" si="126"/>
        <v>3000</v>
      </c>
    </row>
    <row r="635" spans="1:16" s="577" customFormat="1" ht="49.5" customHeight="1">
      <c r="A635" s="661" t="s">
        <v>398</v>
      </c>
      <c r="B635" s="905" t="s">
        <v>390</v>
      </c>
      <c r="C635" s="906" t="s">
        <v>391</v>
      </c>
      <c r="D635" s="904">
        <v>161</v>
      </c>
      <c r="E635" s="933" t="s">
        <v>316</v>
      </c>
      <c r="F635" s="569" t="s">
        <v>658</v>
      </c>
      <c r="G635" s="1154">
        <v>2000</v>
      </c>
      <c r="H635" s="1154"/>
      <c r="I635" s="1154"/>
      <c r="J635" s="1154">
        <f t="shared" si="123"/>
        <v>2000</v>
      </c>
      <c r="K635" s="1154">
        <v>0</v>
      </c>
      <c r="L635" s="1154"/>
      <c r="M635" s="1154"/>
      <c r="N635" s="1154">
        <f t="shared" si="124"/>
        <v>0</v>
      </c>
      <c r="O635" s="1154">
        <f t="shared" si="125"/>
        <v>2000</v>
      </c>
      <c r="P635" s="1155">
        <f t="shared" si="126"/>
        <v>2000</v>
      </c>
    </row>
    <row r="636" spans="1:16" ht="29.25" customHeight="1">
      <c r="A636" s="892"/>
      <c r="B636" s="893"/>
      <c r="C636" s="924"/>
      <c r="D636" s="925"/>
      <c r="E636" s="635">
        <v>820000</v>
      </c>
      <c r="F636" s="944" t="s">
        <v>527</v>
      </c>
      <c r="G636" s="1158"/>
      <c r="H636" s="1158"/>
      <c r="I636" s="1158"/>
      <c r="J636" s="1158"/>
      <c r="K636" s="1158"/>
      <c r="L636" s="1158"/>
      <c r="M636" s="1158"/>
      <c r="N636" s="1158"/>
      <c r="O636" s="1158"/>
      <c r="P636" s="1159"/>
    </row>
    <row r="637" spans="1:16" ht="39" customHeight="1">
      <c r="A637" s="1311" t="s">
        <v>398</v>
      </c>
      <c r="B637" s="1312" t="s">
        <v>390</v>
      </c>
      <c r="C637" s="1336" t="s">
        <v>391</v>
      </c>
      <c r="D637" s="1352">
        <v>161</v>
      </c>
      <c r="E637" s="1359">
        <v>821300</v>
      </c>
      <c r="F637" s="1360" t="s">
        <v>528</v>
      </c>
      <c r="G637" s="1315">
        <v>7000</v>
      </c>
      <c r="H637" s="1315"/>
      <c r="I637" s="1315">
        <v>7000</v>
      </c>
      <c r="J637" s="1315">
        <f>G637+H637-I637</f>
        <v>0</v>
      </c>
      <c r="K637" s="1315">
        <v>0</v>
      </c>
      <c r="L637" s="1315"/>
      <c r="M637" s="1315"/>
      <c r="N637" s="1315">
        <f>K637+L637-M637</f>
        <v>0</v>
      </c>
      <c r="O637" s="1315">
        <f>G637+K637</f>
        <v>7000</v>
      </c>
      <c r="P637" s="1316">
        <f t="shared" si="126"/>
        <v>0</v>
      </c>
    </row>
    <row r="638" spans="1:16" ht="54" customHeight="1" thickBot="1">
      <c r="A638" s="451"/>
      <c r="B638" s="452"/>
      <c r="C638" s="452"/>
      <c r="D638" s="453"/>
      <c r="E638" s="735"/>
      <c r="F638" s="515" t="s">
        <v>659</v>
      </c>
      <c r="G638" s="1160">
        <f aca="true" t="shared" si="127" ref="G638:P638">SUM(G626:G637)</f>
        <v>1264000</v>
      </c>
      <c r="H638" s="1160">
        <f t="shared" si="127"/>
        <v>0</v>
      </c>
      <c r="I638" s="1160">
        <f t="shared" si="127"/>
        <v>7000</v>
      </c>
      <c r="J638" s="1160">
        <f t="shared" si="127"/>
        <v>1257000</v>
      </c>
      <c r="K638" s="1160">
        <f t="shared" si="127"/>
        <v>0</v>
      </c>
      <c r="L638" s="1160">
        <f t="shared" si="127"/>
        <v>0</v>
      </c>
      <c r="M638" s="1160">
        <f t="shared" si="127"/>
        <v>0</v>
      </c>
      <c r="N638" s="1160">
        <f t="shared" si="127"/>
        <v>0</v>
      </c>
      <c r="O638" s="1161">
        <f t="shared" si="127"/>
        <v>1264000</v>
      </c>
      <c r="P638" s="1162">
        <f t="shared" si="127"/>
        <v>1257000</v>
      </c>
    </row>
    <row r="639" spans="1:16" ht="39" customHeight="1">
      <c r="A639" s="424"/>
      <c r="B639" s="425"/>
      <c r="C639" s="425"/>
      <c r="D639" s="420"/>
      <c r="E639" s="737"/>
      <c r="F639" s="518" t="s">
        <v>1142</v>
      </c>
      <c r="G639" s="1175"/>
      <c r="H639" s="1175"/>
      <c r="I639" s="1175"/>
      <c r="J639" s="1175"/>
      <c r="K639" s="1175"/>
      <c r="L639" s="1175"/>
      <c r="M639" s="1175"/>
      <c r="N639" s="1175"/>
      <c r="O639" s="1175"/>
      <c r="P639" s="1176"/>
    </row>
    <row r="640" spans="1:16" ht="39" customHeight="1">
      <c r="A640" s="424"/>
      <c r="B640" s="425"/>
      <c r="C640" s="425"/>
      <c r="D640" s="420"/>
      <c r="E640" s="737"/>
      <c r="F640" s="473" t="s">
        <v>1076</v>
      </c>
      <c r="G640" s="1177"/>
      <c r="H640" s="1177"/>
      <c r="I640" s="1177"/>
      <c r="J640" s="1177"/>
      <c r="K640" s="1177"/>
      <c r="L640" s="1177"/>
      <c r="M640" s="1177"/>
      <c r="N640" s="1177"/>
      <c r="O640" s="1177">
        <v>32</v>
      </c>
      <c r="P640" s="1178"/>
    </row>
    <row r="641" spans="1:16" ht="45.75" customHeight="1" thickBot="1">
      <c r="A641" s="648"/>
      <c r="B641" s="649"/>
      <c r="C641" s="649"/>
      <c r="D641" s="477"/>
      <c r="E641" s="738"/>
      <c r="F641" s="515" t="s">
        <v>834</v>
      </c>
      <c r="G641" s="1201"/>
      <c r="H641" s="1201"/>
      <c r="I641" s="1201"/>
      <c r="J641" s="1201"/>
      <c r="K641" s="1201"/>
      <c r="L641" s="1201"/>
      <c r="M641" s="1201"/>
      <c r="N641" s="1201"/>
      <c r="O641" s="1201">
        <v>42</v>
      </c>
      <c r="P641" s="1202"/>
    </row>
    <row r="642" spans="1:16" ht="276" customHeight="1">
      <c r="A642" s="401" t="s">
        <v>494</v>
      </c>
      <c r="B642" s="402" t="s">
        <v>495</v>
      </c>
      <c r="C642" s="403" t="s">
        <v>677</v>
      </c>
      <c r="D642" s="404" t="s">
        <v>497</v>
      </c>
      <c r="E642" s="404" t="s">
        <v>188</v>
      </c>
      <c r="F642" s="405" t="s">
        <v>496</v>
      </c>
      <c r="G642" s="813" t="s">
        <v>1322</v>
      </c>
      <c r="H642" s="813" t="s">
        <v>1324</v>
      </c>
      <c r="I642" s="813" t="s">
        <v>1325</v>
      </c>
      <c r="J642" s="813" t="s">
        <v>1326</v>
      </c>
      <c r="K642" s="813" t="s">
        <v>1323</v>
      </c>
      <c r="L642" s="813" t="s">
        <v>1327</v>
      </c>
      <c r="M642" s="813" t="s">
        <v>1328</v>
      </c>
      <c r="N642" s="813" t="s">
        <v>1329</v>
      </c>
      <c r="O642" s="1278" t="s">
        <v>1321</v>
      </c>
      <c r="P642" s="1149" t="s">
        <v>1330</v>
      </c>
    </row>
    <row r="643" spans="1:16" s="519" customFormat="1" ht="27" customHeight="1" thickBot="1">
      <c r="A643" s="1533">
        <v>0</v>
      </c>
      <c r="B643" s="1534"/>
      <c r="C643" s="1534"/>
      <c r="D643" s="409">
        <v>1</v>
      </c>
      <c r="E643" s="409">
        <v>2</v>
      </c>
      <c r="F643" s="410">
        <v>3</v>
      </c>
      <c r="G643" s="1150">
        <v>4</v>
      </c>
      <c r="H643" s="1150">
        <v>5</v>
      </c>
      <c r="I643" s="1150">
        <v>6</v>
      </c>
      <c r="J643" s="1150">
        <v>7</v>
      </c>
      <c r="K643" s="1150">
        <v>8</v>
      </c>
      <c r="L643" s="1150">
        <v>9</v>
      </c>
      <c r="M643" s="1150">
        <v>10</v>
      </c>
      <c r="N643" s="1150">
        <v>11</v>
      </c>
      <c r="O643" s="1150">
        <v>12</v>
      </c>
      <c r="P643" s="1151">
        <v>13</v>
      </c>
    </row>
    <row r="644" spans="1:16" s="527" customFormat="1" ht="66" customHeight="1">
      <c r="A644" s="483" t="s">
        <v>399</v>
      </c>
      <c r="B644" s="484"/>
      <c r="C644" s="484"/>
      <c r="D644" s="413"/>
      <c r="E644" s="530"/>
      <c r="F644" s="566" t="s">
        <v>19</v>
      </c>
      <c r="G644" s="415"/>
      <c r="H644" s="415"/>
      <c r="I644" s="415"/>
      <c r="J644" s="415"/>
      <c r="K644" s="415"/>
      <c r="L644" s="415"/>
      <c r="M644" s="415"/>
      <c r="N644" s="415"/>
      <c r="O644" s="415"/>
      <c r="P644" s="1152"/>
    </row>
    <row r="645" spans="1:16" ht="45">
      <c r="A645" s="488" t="s">
        <v>399</v>
      </c>
      <c r="B645" s="489" t="s">
        <v>390</v>
      </c>
      <c r="C645" s="489"/>
      <c r="D645" s="420"/>
      <c r="E645" s="531"/>
      <c r="F645" s="492" t="s">
        <v>20</v>
      </c>
      <c r="G645" s="422"/>
      <c r="H645" s="422"/>
      <c r="I645" s="422"/>
      <c r="J645" s="422"/>
      <c r="K645" s="422"/>
      <c r="L645" s="422"/>
      <c r="M645" s="422"/>
      <c r="N645" s="422"/>
      <c r="O645" s="422"/>
      <c r="P645" s="1153"/>
    </row>
    <row r="646" spans="1:16" ht="55.5" customHeight="1">
      <c r="A646" s="424"/>
      <c r="B646" s="425"/>
      <c r="C646" s="425"/>
      <c r="D646" s="420"/>
      <c r="E646" s="426">
        <v>610000</v>
      </c>
      <c r="F646" s="534" t="s">
        <v>513</v>
      </c>
      <c r="G646" s="422"/>
      <c r="H646" s="422"/>
      <c r="I646" s="422"/>
      <c r="J646" s="422"/>
      <c r="K646" s="422"/>
      <c r="L646" s="422"/>
      <c r="M646" s="422"/>
      <c r="N646" s="422"/>
      <c r="O646" s="422"/>
      <c r="P646" s="1153"/>
    </row>
    <row r="647" spans="1:16" ht="52.5" customHeight="1">
      <c r="A647" s="625" t="s">
        <v>399</v>
      </c>
      <c r="B647" s="595" t="s">
        <v>390</v>
      </c>
      <c r="C647" s="691" t="s">
        <v>391</v>
      </c>
      <c r="D647" s="889">
        <v>161</v>
      </c>
      <c r="E647" s="692">
        <v>611100</v>
      </c>
      <c r="F647" s="626" t="s">
        <v>962</v>
      </c>
      <c r="G647" s="1154">
        <v>1444500</v>
      </c>
      <c r="H647" s="1154"/>
      <c r="I647" s="1154"/>
      <c r="J647" s="1154">
        <f aca="true" t="shared" si="128" ref="J647:J660">G647+H647-I647</f>
        <v>1444500</v>
      </c>
      <c r="K647" s="1154">
        <v>0</v>
      </c>
      <c r="L647" s="1154"/>
      <c r="M647" s="1154"/>
      <c r="N647" s="1154">
        <f aca="true" t="shared" si="129" ref="N647:N660">K647+L647-M647</f>
        <v>0</v>
      </c>
      <c r="O647" s="1154">
        <f aca="true" t="shared" si="130" ref="O647:O660">G647+K647</f>
        <v>1444500</v>
      </c>
      <c r="P647" s="1155">
        <f aca="true" t="shared" si="131" ref="P647:P663">J647+N647</f>
        <v>1444500</v>
      </c>
    </row>
    <row r="648" spans="1:16" ht="33.75" customHeight="1">
      <c r="A648" s="625" t="s">
        <v>399</v>
      </c>
      <c r="B648" s="595" t="s">
        <v>390</v>
      </c>
      <c r="C648" s="691" t="s">
        <v>391</v>
      </c>
      <c r="D648" s="889">
        <v>161</v>
      </c>
      <c r="E648" s="596">
        <v>611200</v>
      </c>
      <c r="F648" s="627" t="s">
        <v>514</v>
      </c>
      <c r="G648" s="1154">
        <v>370000</v>
      </c>
      <c r="H648" s="1154"/>
      <c r="I648" s="1154"/>
      <c r="J648" s="1154">
        <f t="shared" si="128"/>
        <v>370000</v>
      </c>
      <c r="K648" s="1154">
        <v>0</v>
      </c>
      <c r="L648" s="1154"/>
      <c r="M648" s="1154"/>
      <c r="N648" s="1154">
        <f t="shared" si="129"/>
        <v>0</v>
      </c>
      <c r="O648" s="1154">
        <f t="shared" si="130"/>
        <v>370000</v>
      </c>
      <c r="P648" s="1155">
        <f t="shared" si="131"/>
        <v>370000</v>
      </c>
    </row>
    <row r="649" spans="1:16" ht="36" customHeight="1">
      <c r="A649" s="625" t="s">
        <v>399</v>
      </c>
      <c r="B649" s="595" t="s">
        <v>390</v>
      </c>
      <c r="C649" s="691" t="s">
        <v>391</v>
      </c>
      <c r="D649" s="889">
        <v>161</v>
      </c>
      <c r="E649" s="464">
        <v>612000</v>
      </c>
      <c r="F649" s="627" t="s">
        <v>889</v>
      </c>
      <c r="G649" s="1154">
        <v>160500</v>
      </c>
      <c r="H649" s="1154"/>
      <c r="I649" s="1154"/>
      <c r="J649" s="1154">
        <f t="shared" si="128"/>
        <v>160500</v>
      </c>
      <c r="K649" s="1154">
        <v>0</v>
      </c>
      <c r="L649" s="1154"/>
      <c r="M649" s="1154"/>
      <c r="N649" s="1154">
        <f t="shared" si="129"/>
        <v>0</v>
      </c>
      <c r="O649" s="1154">
        <f t="shared" si="130"/>
        <v>160500</v>
      </c>
      <c r="P649" s="1155">
        <f t="shared" si="131"/>
        <v>160500</v>
      </c>
    </row>
    <row r="650" spans="1:16" ht="34.5" customHeight="1">
      <c r="A650" s="625" t="s">
        <v>399</v>
      </c>
      <c r="B650" s="595" t="s">
        <v>390</v>
      </c>
      <c r="C650" s="691" t="s">
        <v>391</v>
      </c>
      <c r="D650" s="889">
        <v>161</v>
      </c>
      <c r="E650" s="752">
        <v>613100</v>
      </c>
      <c r="F650" s="753" t="s">
        <v>515</v>
      </c>
      <c r="G650" s="1154">
        <v>16000</v>
      </c>
      <c r="H650" s="1154"/>
      <c r="I650" s="1154"/>
      <c r="J650" s="1154">
        <f t="shared" si="128"/>
        <v>16000</v>
      </c>
      <c r="K650" s="1154">
        <v>0</v>
      </c>
      <c r="L650" s="1154"/>
      <c r="M650" s="1154"/>
      <c r="N650" s="1154">
        <f t="shared" si="129"/>
        <v>0</v>
      </c>
      <c r="O650" s="1154">
        <f t="shared" si="130"/>
        <v>16000</v>
      </c>
      <c r="P650" s="1155">
        <f t="shared" si="131"/>
        <v>16000</v>
      </c>
    </row>
    <row r="651" spans="1:16" ht="32.25" customHeight="1">
      <c r="A651" s="625" t="s">
        <v>399</v>
      </c>
      <c r="B651" s="595" t="s">
        <v>390</v>
      </c>
      <c r="C651" s="691" t="s">
        <v>391</v>
      </c>
      <c r="D651" s="889">
        <v>161</v>
      </c>
      <c r="E651" s="930">
        <v>613210</v>
      </c>
      <c r="F651" s="753" t="s">
        <v>660</v>
      </c>
      <c r="G651" s="1154">
        <v>130000</v>
      </c>
      <c r="H651" s="1154"/>
      <c r="I651" s="1154"/>
      <c r="J651" s="1154">
        <f t="shared" si="128"/>
        <v>130000</v>
      </c>
      <c r="K651" s="1154">
        <v>0</v>
      </c>
      <c r="L651" s="1154"/>
      <c r="M651" s="1154"/>
      <c r="N651" s="1154">
        <f t="shared" si="129"/>
        <v>0</v>
      </c>
      <c r="O651" s="1154">
        <f t="shared" si="130"/>
        <v>130000</v>
      </c>
      <c r="P651" s="1155">
        <f t="shared" si="131"/>
        <v>130000</v>
      </c>
    </row>
    <row r="652" spans="1:16" ht="33.75" customHeight="1">
      <c r="A652" s="625" t="s">
        <v>399</v>
      </c>
      <c r="B652" s="595" t="s">
        <v>390</v>
      </c>
      <c r="C652" s="691" t="s">
        <v>391</v>
      </c>
      <c r="D652" s="889">
        <v>161</v>
      </c>
      <c r="E652" s="692">
        <v>613310</v>
      </c>
      <c r="F652" s="762" t="s">
        <v>616</v>
      </c>
      <c r="G652" s="1154">
        <v>171231.84</v>
      </c>
      <c r="H652" s="1154"/>
      <c r="I652" s="1154"/>
      <c r="J652" s="1154">
        <f t="shared" si="128"/>
        <v>171231.84</v>
      </c>
      <c r="K652" s="1154">
        <v>0</v>
      </c>
      <c r="L652" s="1154"/>
      <c r="M652" s="1154"/>
      <c r="N652" s="1154">
        <f t="shared" si="129"/>
        <v>0</v>
      </c>
      <c r="O652" s="1154">
        <f t="shared" si="130"/>
        <v>171231.84</v>
      </c>
      <c r="P652" s="1155">
        <f t="shared" si="131"/>
        <v>171231.84</v>
      </c>
    </row>
    <row r="653" spans="1:16" ht="33.75" customHeight="1">
      <c r="A653" s="625" t="s">
        <v>399</v>
      </c>
      <c r="B653" s="595" t="s">
        <v>390</v>
      </c>
      <c r="C653" s="691" t="s">
        <v>391</v>
      </c>
      <c r="D653" s="889">
        <v>161</v>
      </c>
      <c r="E653" s="930">
        <v>613320</v>
      </c>
      <c r="F653" s="753" t="s">
        <v>500</v>
      </c>
      <c r="G653" s="1154">
        <v>40409.5</v>
      </c>
      <c r="H653" s="1154"/>
      <c r="I653" s="1154"/>
      <c r="J653" s="1154">
        <f t="shared" si="128"/>
        <v>40409.5</v>
      </c>
      <c r="K653" s="1154">
        <v>0</v>
      </c>
      <c r="L653" s="1154"/>
      <c r="M653" s="1154"/>
      <c r="N653" s="1154">
        <f t="shared" si="129"/>
        <v>0</v>
      </c>
      <c r="O653" s="1154">
        <f t="shared" si="130"/>
        <v>40409.5</v>
      </c>
      <c r="P653" s="1155">
        <f t="shared" si="131"/>
        <v>40409.5</v>
      </c>
    </row>
    <row r="654" spans="1:16" ht="35.25" customHeight="1">
      <c r="A654" s="625" t="s">
        <v>399</v>
      </c>
      <c r="B654" s="595" t="s">
        <v>390</v>
      </c>
      <c r="C654" s="691" t="s">
        <v>391</v>
      </c>
      <c r="D654" s="889">
        <v>161</v>
      </c>
      <c r="E654" s="930">
        <v>613400</v>
      </c>
      <c r="F654" s="753" t="s">
        <v>501</v>
      </c>
      <c r="G654" s="1154">
        <v>70000</v>
      </c>
      <c r="H654" s="1154"/>
      <c r="I654" s="1154"/>
      <c r="J654" s="1154">
        <f t="shared" si="128"/>
        <v>70000</v>
      </c>
      <c r="K654" s="1154">
        <v>0</v>
      </c>
      <c r="L654" s="1154"/>
      <c r="M654" s="1154"/>
      <c r="N654" s="1154">
        <f t="shared" si="129"/>
        <v>0</v>
      </c>
      <c r="O654" s="1154">
        <f t="shared" si="130"/>
        <v>70000</v>
      </c>
      <c r="P654" s="1155">
        <f t="shared" si="131"/>
        <v>70000</v>
      </c>
    </row>
    <row r="655" spans="1:16" ht="33.75" customHeight="1">
      <c r="A655" s="1311" t="s">
        <v>399</v>
      </c>
      <c r="B655" s="1312" t="s">
        <v>390</v>
      </c>
      <c r="C655" s="1336" t="s">
        <v>391</v>
      </c>
      <c r="D655" s="1352">
        <v>161</v>
      </c>
      <c r="E655" s="1353">
        <v>613500</v>
      </c>
      <c r="F655" s="1361" t="s">
        <v>661</v>
      </c>
      <c r="G655" s="1315">
        <v>50000</v>
      </c>
      <c r="H655" s="1315"/>
      <c r="I655" s="1315">
        <v>10000</v>
      </c>
      <c r="J655" s="1315">
        <f t="shared" si="128"/>
        <v>40000</v>
      </c>
      <c r="K655" s="1315">
        <v>0</v>
      </c>
      <c r="L655" s="1315"/>
      <c r="M655" s="1315"/>
      <c r="N655" s="1315">
        <f t="shared" si="129"/>
        <v>0</v>
      </c>
      <c r="O655" s="1315">
        <f t="shared" si="130"/>
        <v>50000</v>
      </c>
      <c r="P655" s="1316">
        <f t="shared" si="131"/>
        <v>40000</v>
      </c>
    </row>
    <row r="656" spans="1:16" ht="35.25" customHeight="1">
      <c r="A656" s="625" t="s">
        <v>399</v>
      </c>
      <c r="B656" s="595" t="s">
        <v>390</v>
      </c>
      <c r="C656" s="691" t="s">
        <v>391</v>
      </c>
      <c r="D656" s="889">
        <v>161</v>
      </c>
      <c r="E656" s="930">
        <v>613720</v>
      </c>
      <c r="F656" s="753" t="s">
        <v>530</v>
      </c>
      <c r="G656" s="1154">
        <v>74860</v>
      </c>
      <c r="H656" s="1154"/>
      <c r="I656" s="1154"/>
      <c r="J656" s="1154">
        <f t="shared" si="128"/>
        <v>74860</v>
      </c>
      <c r="K656" s="1154">
        <v>0</v>
      </c>
      <c r="L656" s="1154"/>
      <c r="M656" s="1154"/>
      <c r="N656" s="1154">
        <f t="shared" si="129"/>
        <v>0</v>
      </c>
      <c r="O656" s="1154">
        <f t="shared" si="130"/>
        <v>74860</v>
      </c>
      <c r="P656" s="1155">
        <f t="shared" si="131"/>
        <v>74860</v>
      </c>
    </row>
    <row r="657" spans="1:16" ht="33.75" customHeight="1">
      <c r="A657" s="625" t="s">
        <v>399</v>
      </c>
      <c r="B657" s="595" t="s">
        <v>390</v>
      </c>
      <c r="C657" s="691" t="s">
        <v>391</v>
      </c>
      <c r="D657" s="889">
        <v>161</v>
      </c>
      <c r="E657" s="930">
        <v>613810</v>
      </c>
      <c r="F657" s="753" t="s">
        <v>662</v>
      </c>
      <c r="G657" s="1154">
        <v>40000</v>
      </c>
      <c r="H657" s="1154"/>
      <c r="I657" s="1154"/>
      <c r="J657" s="1154">
        <f t="shared" si="128"/>
        <v>40000</v>
      </c>
      <c r="K657" s="1154">
        <v>0</v>
      </c>
      <c r="L657" s="1154"/>
      <c r="M657" s="1154"/>
      <c r="N657" s="1154">
        <f t="shared" si="129"/>
        <v>0</v>
      </c>
      <c r="O657" s="1154">
        <f t="shared" si="130"/>
        <v>40000</v>
      </c>
      <c r="P657" s="1155">
        <f t="shared" si="131"/>
        <v>40000</v>
      </c>
    </row>
    <row r="658" spans="1:16" ht="35.25" customHeight="1">
      <c r="A658" s="1311" t="s">
        <v>399</v>
      </c>
      <c r="B658" s="1312" t="s">
        <v>390</v>
      </c>
      <c r="C658" s="1336" t="s">
        <v>391</v>
      </c>
      <c r="D658" s="1352">
        <v>161</v>
      </c>
      <c r="E658" s="1353">
        <v>613910</v>
      </c>
      <c r="F658" s="1361" t="s">
        <v>502</v>
      </c>
      <c r="G658" s="1315">
        <v>118205.04</v>
      </c>
      <c r="H658" s="1315"/>
      <c r="I658" s="1315">
        <v>40000</v>
      </c>
      <c r="J658" s="1315">
        <f t="shared" si="128"/>
        <v>78205.04</v>
      </c>
      <c r="K658" s="1315">
        <v>0</v>
      </c>
      <c r="L658" s="1315"/>
      <c r="M658" s="1315"/>
      <c r="N658" s="1315">
        <f t="shared" si="129"/>
        <v>0</v>
      </c>
      <c r="O658" s="1315">
        <f t="shared" si="130"/>
        <v>118205.04</v>
      </c>
      <c r="P658" s="1316">
        <f t="shared" si="131"/>
        <v>78205.04</v>
      </c>
    </row>
    <row r="659" spans="1:16" ht="33.75" customHeight="1">
      <c r="A659" s="625" t="s">
        <v>399</v>
      </c>
      <c r="B659" s="595" t="s">
        <v>390</v>
      </c>
      <c r="C659" s="691" t="s">
        <v>391</v>
      </c>
      <c r="D659" s="889">
        <v>161</v>
      </c>
      <c r="E659" s="930">
        <v>613934</v>
      </c>
      <c r="F659" s="628" t="s">
        <v>540</v>
      </c>
      <c r="G659" s="1154">
        <v>12000</v>
      </c>
      <c r="H659" s="1154"/>
      <c r="I659" s="1154"/>
      <c r="J659" s="1154">
        <f t="shared" si="128"/>
        <v>12000</v>
      </c>
      <c r="K659" s="1154">
        <v>0</v>
      </c>
      <c r="L659" s="1154"/>
      <c r="M659" s="1154"/>
      <c r="N659" s="1154">
        <f t="shared" si="129"/>
        <v>0</v>
      </c>
      <c r="O659" s="1154">
        <f t="shared" si="130"/>
        <v>12000</v>
      </c>
      <c r="P659" s="1155">
        <f t="shared" si="131"/>
        <v>12000</v>
      </c>
    </row>
    <row r="660" spans="1:16" ht="36" customHeight="1">
      <c r="A660" s="1311" t="s">
        <v>399</v>
      </c>
      <c r="B660" s="1312" t="s">
        <v>390</v>
      </c>
      <c r="C660" s="1336" t="s">
        <v>391</v>
      </c>
      <c r="D660" s="1352">
        <v>161</v>
      </c>
      <c r="E660" s="1388" t="s">
        <v>621</v>
      </c>
      <c r="F660" s="1361" t="s">
        <v>517</v>
      </c>
      <c r="G660" s="1315">
        <v>30000</v>
      </c>
      <c r="H660" s="1315"/>
      <c r="I660" s="1315">
        <v>5000</v>
      </c>
      <c r="J660" s="1315">
        <f t="shared" si="128"/>
        <v>25000</v>
      </c>
      <c r="K660" s="1315">
        <v>0</v>
      </c>
      <c r="L660" s="1315"/>
      <c r="M660" s="1315"/>
      <c r="N660" s="1315">
        <f t="shared" si="129"/>
        <v>0</v>
      </c>
      <c r="O660" s="1315">
        <f t="shared" si="130"/>
        <v>30000</v>
      </c>
      <c r="P660" s="1316">
        <f t="shared" si="131"/>
        <v>25000</v>
      </c>
    </row>
    <row r="661" spans="1:16" ht="47.25" customHeight="1">
      <c r="A661" s="892"/>
      <c r="B661" s="893"/>
      <c r="C661" s="924"/>
      <c r="D661" s="928"/>
      <c r="E661" s="635">
        <v>820000</v>
      </c>
      <c r="F661" s="929" t="s">
        <v>527</v>
      </c>
      <c r="G661" s="1158"/>
      <c r="H661" s="1158"/>
      <c r="I661" s="1158"/>
      <c r="J661" s="1158"/>
      <c r="K661" s="1158"/>
      <c r="L661" s="1158"/>
      <c r="M661" s="1158"/>
      <c r="N661" s="1158"/>
      <c r="O661" s="1158"/>
      <c r="P661" s="1159"/>
    </row>
    <row r="662" spans="1:16" ht="35.25" customHeight="1">
      <c r="A662" s="1311" t="s">
        <v>399</v>
      </c>
      <c r="B662" s="1312" t="s">
        <v>390</v>
      </c>
      <c r="C662" s="1336" t="s">
        <v>391</v>
      </c>
      <c r="D662" s="1352">
        <v>161</v>
      </c>
      <c r="E662" s="1313">
        <v>821300</v>
      </c>
      <c r="F662" s="1362" t="s">
        <v>528</v>
      </c>
      <c r="G662" s="1315">
        <v>135966.03</v>
      </c>
      <c r="H662" s="1315"/>
      <c r="I662" s="1315">
        <v>50000</v>
      </c>
      <c r="J662" s="1315">
        <f>G662+H662-I662</f>
        <v>85966.03</v>
      </c>
      <c r="K662" s="1315">
        <v>0</v>
      </c>
      <c r="L662" s="1315"/>
      <c r="M662" s="1315"/>
      <c r="N662" s="1315">
        <f>K662+L662-M662</f>
        <v>0</v>
      </c>
      <c r="O662" s="1315">
        <f>G662+K662</f>
        <v>135966.03</v>
      </c>
      <c r="P662" s="1316">
        <f t="shared" si="131"/>
        <v>85966.03</v>
      </c>
    </row>
    <row r="663" spans="1:16" ht="51.75" customHeight="1">
      <c r="A663" s="881" t="s">
        <v>399</v>
      </c>
      <c r="B663" s="882" t="s">
        <v>390</v>
      </c>
      <c r="C663" s="914" t="s">
        <v>391</v>
      </c>
      <c r="D663" s="915">
        <v>161</v>
      </c>
      <c r="E663" s="883" t="s">
        <v>1034</v>
      </c>
      <c r="F663" s="1007" t="s">
        <v>48</v>
      </c>
      <c r="G663" s="1154">
        <v>37846</v>
      </c>
      <c r="H663" s="1154"/>
      <c r="I663" s="1154"/>
      <c r="J663" s="1154">
        <f>G663+H663-I663</f>
        <v>37846</v>
      </c>
      <c r="K663" s="1154">
        <v>0</v>
      </c>
      <c r="L663" s="1154"/>
      <c r="M663" s="1154"/>
      <c r="N663" s="1154">
        <f>K663+L663-M663</f>
        <v>0</v>
      </c>
      <c r="O663" s="1154">
        <f>G663+K663</f>
        <v>37846</v>
      </c>
      <c r="P663" s="1155">
        <f t="shared" si="131"/>
        <v>37846</v>
      </c>
    </row>
    <row r="664" spans="1:16" ht="69.75" customHeight="1" thickBot="1">
      <c r="A664" s="451"/>
      <c r="B664" s="452"/>
      <c r="C664" s="452"/>
      <c r="D664" s="453"/>
      <c r="E664" s="706"/>
      <c r="F664" s="754" t="s">
        <v>663</v>
      </c>
      <c r="G664" s="1160">
        <f aca="true" t="shared" si="132" ref="G664:P664">SUM(G647:G663)</f>
        <v>2901518.4099999997</v>
      </c>
      <c r="H664" s="1160">
        <f t="shared" si="132"/>
        <v>0</v>
      </c>
      <c r="I664" s="1160">
        <f t="shared" si="132"/>
        <v>105000</v>
      </c>
      <c r="J664" s="1160">
        <f t="shared" si="132"/>
        <v>2796518.4099999997</v>
      </c>
      <c r="K664" s="1160">
        <f t="shared" si="132"/>
        <v>0</v>
      </c>
      <c r="L664" s="1160">
        <f t="shared" si="132"/>
        <v>0</v>
      </c>
      <c r="M664" s="1160">
        <f t="shared" si="132"/>
        <v>0</v>
      </c>
      <c r="N664" s="1160">
        <f t="shared" si="132"/>
        <v>0</v>
      </c>
      <c r="O664" s="1161">
        <f t="shared" si="132"/>
        <v>2901518.4099999997</v>
      </c>
      <c r="P664" s="1162">
        <f t="shared" si="132"/>
        <v>2796518.4099999997</v>
      </c>
    </row>
    <row r="665" spans="1:16" ht="51" customHeight="1">
      <c r="A665" s="424"/>
      <c r="B665" s="425"/>
      <c r="C665" s="425"/>
      <c r="D665" s="420"/>
      <c r="E665" s="708"/>
      <c r="F665" s="518" t="s">
        <v>1142</v>
      </c>
      <c r="G665" s="1175"/>
      <c r="H665" s="1175"/>
      <c r="I665" s="1175"/>
      <c r="J665" s="1175"/>
      <c r="K665" s="1175"/>
      <c r="L665" s="1175"/>
      <c r="M665" s="1175"/>
      <c r="N665" s="1175"/>
      <c r="O665" s="1175"/>
      <c r="P665" s="1176"/>
    </row>
    <row r="666" spans="1:16" ht="48" customHeight="1">
      <c r="A666" s="424"/>
      <c r="B666" s="425"/>
      <c r="C666" s="425"/>
      <c r="D666" s="420"/>
      <c r="E666" s="708"/>
      <c r="F666" s="473" t="s">
        <v>1076</v>
      </c>
      <c r="G666" s="1177"/>
      <c r="H666" s="1177"/>
      <c r="I666" s="1177"/>
      <c r="J666" s="1177"/>
      <c r="K666" s="1177"/>
      <c r="L666" s="1177"/>
      <c r="M666" s="1177"/>
      <c r="N666" s="1177"/>
      <c r="O666" s="1177">
        <v>82</v>
      </c>
      <c r="P666" s="1178"/>
    </row>
    <row r="667" spans="1:16" s="519" customFormat="1" ht="45.75" customHeight="1" thickBot="1">
      <c r="A667" s="648"/>
      <c r="B667" s="649"/>
      <c r="C667" s="649"/>
      <c r="D667" s="477"/>
      <c r="E667" s="755"/>
      <c r="F667" s="515" t="s">
        <v>834</v>
      </c>
      <c r="G667" s="1201"/>
      <c r="H667" s="1201"/>
      <c r="I667" s="1201"/>
      <c r="J667" s="1201"/>
      <c r="K667" s="1201"/>
      <c r="L667" s="1201"/>
      <c r="M667" s="1201"/>
      <c r="N667" s="1201"/>
      <c r="O667" s="1201">
        <v>92</v>
      </c>
      <c r="P667" s="1202"/>
    </row>
    <row r="668" spans="1:16" s="527" customFormat="1" ht="270.75" customHeight="1">
      <c r="A668" s="401" t="s">
        <v>494</v>
      </c>
      <c r="B668" s="402" t="s">
        <v>495</v>
      </c>
      <c r="C668" s="403" t="s">
        <v>687</v>
      </c>
      <c r="D668" s="404" t="s">
        <v>497</v>
      </c>
      <c r="E668" s="404" t="s">
        <v>188</v>
      </c>
      <c r="F668" s="405" t="s">
        <v>496</v>
      </c>
      <c r="G668" s="813" t="s">
        <v>1322</v>
      </c>
      <c r="H668" s="813" t="s">
        <v>1324</v>
      </c>
      <c r="I668" s="813" t="s">
        <v>1325</v>
      </c>
      <c r="J668" s="813" t="s">
        <v>1326</v>
      </c>
      <c r="K668" s="813" t="s">
        <v>1323</v>
      </c>
      <c r="L668" s="813" t="s">
        <v>1327</v>
      </c>
      <c r="M668" s="813" t="s">
        <v>1328</v>
      </c>
      <c r="N668" s="813" t="s">
        <v>1329</v>
      </c>
      <c r="O668" s="1278" t="s">
        <v>1321</v>
      </c>
      <c r="P668" s="1149" t="s">
        <v>1330</v>
      </c>
    </row>
    <row r="669" spans="1:16" ht="28.5" customHeight="1">
      <c r="A669" s="1533">
        <v>0</v>
      </c>
      <c r="B669" s="1534"/>
      <c r="C669" s="1534"/>
      <c r="D669" s="409">
        <v>1</v>
      </c>
      <c r="E669" s="409">
        <v>2</v>
      </c>
      <c r="F669" s="410">
        <v>3</v>
      </c>
      <c r="G669" s="1150">
        <v>4</v>
      </c>
      <c r="H669" s="1150">
        <v>5</v>
      </c>
      <c r="I669" s="1150">
        <v>6</v>
      </c>
      <c r="J669" s="1150">
        <v>7</v>
      </c>
      <c r="K669" s="1150">
        <v>8</v>
      </c>
      <c r="L669" s="1150">
        <v>9</v>
      </c>
      <c r="M669" s="1150">
        <v>10</v>
      </c>
      <c r="N669" s="1150">
        <v>11</v>
      </c>
      <c r="O669" s="1150">
        <v>12</v>
      </c>
      <c r="P669" s="1151">
        <v>13</v>
      </c>
    </row>
    <row r="670" spans="1:16" ht="82.5" customHeight="1">
      <c r="A670" s="483" t="s">
        <v>400</v>
      </c>
      <c r="B670" s="484"/>
      <c r="C670" s="484"/>
      <c r="D670" s="413"/>
      <c r="E670" s="530"/>
      <c r="F670" s="601" t="s">
        <v>732</v>
      </c>
      <c r="G670" s="415"/>
      <c r="H670" s="415"/>
      <c r="I670" s="415"/>
      <c r="J670" s="415"/>
      <c r="K670" s="415"/>
      <c r="L670" s="415"/>
      <c r="M670" s="415"/>
      <c r="N670" s="415"/>
      <c r="O670" s="415"/>
      <c r="P670" s="1152"/>
    </row>
    <row r="671" spans="1:16" ht="80.25" customHeight="1">
      <c r="A671" s="488" t="s">
        <v>400</v>
      </c>
      <c r="B671" s="489" t="s">
        <v>390</v>
      </c>
      <c r="C671" s="489"/>
      <c r="D671" s="420"/>
      <c r="E671" s="531"/>
      <c r="F671" s="492" t="s">
        <v>733</v>
      </c>
      <c r="G671" s="422"/>
      <c r="H671" s="422"/>
      <c r="I671" s="422"/>
      <c r="J671" s="422"/>
      <c r="K671" s="422"/>
      <c r="L671" s="422"/>
      <c r="M671" s="422"/>
      <c r="N671" s="422"/>
      <c r="O671" s="422"/>
      <c r="P671" s="1153"/>
    </row>
    <row r="672" spans="1:16" ht="36.75" customHeight="1">
      <c r="A672" s="424"/>
      <c r="B672" s="425"/>
      <c r="C672" s="425"/>
      <c r="D672" s="420"/>
      <c r="E672" s="426">
        <v>610000</v>
      </c>
      <c r="F672" s="534" t="s">
        <v>513</v>
      </c>
      <c r="G672" s="422"/>
      <c r="H672" s="422"/>
      <c r="I672" s="422"/>
      <c r="J672" s="422"/>
      <c r="K672" s="422"/>
      <c r="L672" s="422"/>
      <c r="M672" s="422"/>
      <c r="N672" s="422"/>
      <c r="O672" s="422"/>
      <c r="P672" s="1153"/>
    </row>
    <row r="673" spans="1:16" ht="30" customHeight="1">
      <c r="A673" s="625" t="s">
        <v>400</v>
      </c>
      <c r="B673" s="595" t="s">
        <v>390</v>
      </c>
      <c r="C673" s="691" t="s">
        <v>391</v>
      </c>
      <c r="D673" s="889">
        <v>1092</v>
      </c>
      <c r="E673" s="692">
        <v>611100</v>
      </c>
      <c r="F673" s="626" t="s">
        <v>962</v>
      </c>
      <c r="G673" s="1154">
        <v>448300</v>
      </c>
      <c r="H673" s="1154"/>
      <c r="I673" s="1154"/>
      <c r="J673" s="1154">
        <f aca="true" t="shared" si="133" ref="J673:J692">G673+H673-I673</f>
        <v>448300</v>
      </c>
      <c r="K673" s="1154">
        <v>0</v>
      </c>
      <c r="L673" s="1154"/>
      <c r="M673" s="1154"/>
      <c r="N673" s="1154">
        <f aca="true" t="shared" si="134" ref="N673:N692">K673+L673-M673</f>
        <v>0</v>
      </c>
      <c r="O673" s="1154">
        <f aca="true" t="shared" si="135" ref="O673:O692">G673+K673</f>
        <v>448300</v>
      </c>
      <c r="P673" s="1155">
        <f aca="true" t="shared" si="136" ref="P673:P692">J673+N673</f>
        <v>448300</v>
      </c>
    </row>
    <row r="674" spans="1:16" ht="36" customHeight="1">
      <c r="A674" s="625" t="s">
        <v>400</v>
      </c>
      <c r="B674" s="595" t="s">
        <v>390</v>
      </c>
      <c r="C674" s="691" t="s">
        <v>391</v>
      </c>
      <c r="D674" s="889">
        <v>1092</v>
      </c>
      <c r="E674" s="596">
        <v>611200</v>
      </c>
      <c r="F674" s="627" t="s">
        <v>514</v>
      </c>
      <c r="G674" s="1154">
        <v>101700</v>
      </c>
      <c r="H674" s="1154"/>
      <c r="I674" s="1154"/>
      <c r="J674" s="1154">
        <f t="shared" si="133"/>
        <v>101700</v>
      </c>
      <c r="K674" s="1154">
        <v>0</v>
      </c>
      <c r="L674" s="1154"/>
      <c r="M674" s="1154"/>
      <c r="N674" s="1154">
        <f t="shared" si="134"/>
        <v>0</v>
      </c>
      <c r="O674" s="1154">
        <f t="shared" si="135"/>
        <v>101700</v>
      </c>
      <c r="P674" s="1155">
        <f t="shared" si="136"/>
        <v>101700</v>
      </c>
    </row>
    <row r="675" spans="1:16" ht="34.5" customHeight="1">
      <c r="A675" s="625" t="s">
        <v>400</v>
      </c>
      <c r="B675" s="595" t="s">
        <v>390</v>
      </c>
      <c r="C675" s="691" t="s">
        <v>391</v>
      </c>
      <c r="D675" s="889">
        <v>1092</v>
      </c>
      <c r="E675" s="464">
        <v>612000</v>
      </c>
      <c r="F675" s="627" t="s">
        <v>889</v>
      </c>
      <c r="G675" s="1154">
        <v>47900</v>
      </c>
      <c r="H675" s="1154"/>
      <c r="I675" s="1154"/>
      <c r="J675" s="1154">
        <f t="shared" si="133"/>
        <v>47900</v>
      </c>
      <c r="K675" s="1154">
        <v>0</v>
      </c>
      <c r="L675" s="1154"/>
      <c r="M675" s="1154"/>
      <c r="N675" s="1154">
        <f t="shared" si="134"/>
        <v>0</v>
      </c>
      <c r="O675" s="1154">
        <f t="shared" si="135"/>
        <v>47900</v>
      </c>
      <c r="P675" s="1155">
        <f t="shared" si="136"/>
        <v>47900</v>
      </c>
    </row>
    <row r="676" spans="1:16" ht="35.25" customHeight="1">
      <c r="A676" s="625" t="s">
        <v>400</v>
      </c>
      <c r="B676" s="595" t="s">
        <v>390</v>
      </c>
      <c r="C676" s="691" t="s">
        <v>391</v>
      </c>
      <c r="D676" s="889">
        <v>1092</v>
      </c>
      <c r="E676" s="752">
        <v>613100</v>
      </c>
      <c r="F676" s="714" t="s">
        <v>515</v>
      </c>
      <c r="G676" s="1154">
        <v>2000</v>
      </c>
      <c r="H676" s="1154"/>
      <c r="I676" s="1154"/>
      <c r="J676" s="1154">
        <f t="shared" si="133"/>
        <v>2000</v>
      </c>
      <c r="K676" s="1154">
        <v>0</v>
      </c>
      <c r="L676" s="1154"/>
      <c r="M676" s="1154"/>
      <c r="N676" s="1154">
        <f t="shared" si="134"/>
        <v>0</v>
      </c>
      <c r="O676" s="1154">
        <f t="shared" si="135"/>
        <v>2000</v>
      </c>
      <c r="P676" s="1155">
        <f t="shared" si="136"/>
        <v>2000</v>
      </c>
    </row>
    <row r="677" spans="1:16" ht="33.75" customHeight="1">
      <c r="A677" s="625" t="s">
        <v>400</v>
      </c>
      <c r="B677" s="595" t="s">
        <v>390</v>
      </c>
      <c r="C677" s="691" t="s">
        <v>391</v>
      </c>
      <c r="D677" s="889">
        <v>1092</v>
      </c>
      <c r="E677" s="930" t="s">
        <v>664</v>
      </c>
      <c r="F677" s="714" t="s">
        <v>624</v>
      </c>
      <c r="G677" s="1154">
        <v>27000</v>
      </c>
      <c r="H677" s="1154"/>
      <c r="I677" s="1154"/>
      <c r="J677" s="1154">
        <f t="shared" si="133"/>
        <v>27000</v>
      </c>
      <c r="K677" s="1154">
        <v>0</v>
      </c>
      <c r="L677" s="1154"/>
      <c r="M677" s="1154"/>
      <c r="N677" s="1154">
        <f t="shared" si="134"/>
        <v>0</v>
      </c>
      <c r="O677" s="1154">
        <f t="shared" si="135"/>
        <v>27000</v>
      </c>
      <c r="P677" s="1155">
        <f t="shared" si="136"/>
        <v>27000</v>
      </c>
    </row>
    <row r="678" spans="1:16" ht="35.25" customHeight="1">
      <c r="A678" s="625" t="s">
        <v>400</v>
      </c>
      <c r="B678" s="595" t="s">
        <v>390</v>
      </c>
      <c r="C678" s="691" t="s">
        <v>391</v>
      </c>
      <c r="D678" s="889">
        <v>1092</v>
      </c>
      <c r="E678" s="692">
        <v>613310</v>
      </c>
      <c r="F678" s="762" t="s">
        <v>616</v>
      </c>
      <c r="G678" s="1154">
        <v>6000</v>
      </c>
      <c r="H678" s="1154"/>
      <c r="I678" s="1154"/>
      <c r="J678" s="1154">
        <f t="shared" si="133"/>
        <v>6000</v>
      </c>
      <c r="K678" s="1154">
        <v>0</v>
      </c>
      <c r="L678" s="1154"/>
      <c r="M678" s="1154"/>
      <c r="N678" s="1154">
        <f t="shared" si="134"/>
        <v>0</v>
      </c>
      <c r="O678" s="1154">
        <f t="shared" si="135"/>
        <v>6000</v>
      </c>
      <c r="P678" s="1155">
        <f t="shared" si="136"/>
        <v>6000</v>
      </c>
    </row>
    <row r="679" spans="1:16" ht="38.25" customHeight="1">
      <c r="A679" s="625" t="s">
        <v>400</v>
      </c>
      <c r="B679" s="595" t="s">
        <v>390</v>
      </c>
      <c r="C679" s="691" t="s">
        <v>391</v>
      </c>
      <c r="D679" s="889">
        <v>1092</v>
      </c>
      <c r="E679" s="752">
        <v>613320</v>
      </c>
      <c r="F679" s="714" t="s">
        <v>500</v>
      </c>
      <c r="G679" s="1154">
        <v>13000</v>
      </c>
      <c r="H679" s="1154"/>
      <c r="I679" s="1154"/>
      <c r="J679" s="1154">
        <f t="shared" si="133"/>
        <v>13000</v>
      </c>
      <c r="K679" s="1154">
        <v>0</v>
      </c>
      <c r="L679" s="1154"/>
      <c r="M679" s="1154"/>
      <c r="N679" s="1154">
        <f t="shared" si="134"/>
        <v>0</v>
      </c>
      <c r="O679" s="1154">
        <f t="shared" si="135"/>
        <v>13000</v>
      </c>
      <c r="P679" s="1155">
        <f t="shared" si="136"/>
        <v>13000</v>
      </c>
    </row>
    <row r="680" spans="1:16" ht="34.5" customHeight="1">
      <c r="A680" s="625" t="s">
        <v>400</v>
      </c>
      <c r="B680" s="595" t="s">
        <v>390</v>
      </c>
      <c r="C680" s="691" t="s">
        <v>391</v>
      </c>
      <c r="D680" s="889">
        <v>1092</v>
      </c>
      <c r="E680" s="930">
        <v>613400</v>
      </c>
      <c r="F680" s="714" t="s">
        <v>501</v>
      </c>
      <c r="G680" s="1154">
        <v>5000</v>
      </c>
      <c r="H680" s="1154"/>
      <c r="I680" s="1154"/>
      <c r="J680" s="1154">
        <f t="shared" si="133"/>
        <v>5000</v>
      </c>
      <c r="K680" s="1154">
        <v>0</v>
      </c>
      <c r="L680" s="1154"/>
      <c r="M680" s="1154"/>
      <c r="N680" s="1154">
        <f t="shared" si="134"/>
        <v>0</v>
      </c>
      <c r="O680" s="1154">
        <f t="shared" si="135"/>
        <v>5000</v>
      </c>
      <c r="P680" s="1155">
        <f t="shared" si="136"/>
        <v>5000</v>
      </c>
    </row>
    <row r="681" spans="1:16" ht="34.5" customHeight="1">
      <c r="A681" s="625" t="s">
        <v>400</v>
      </c>
      <c r="B681" s="595" t="s">
        <v>390</v>
      </c>
      <c r="C681" s="691" t="s">
        <v>391</v>
      </c>
      <c r="D681" s="889">
        <v>1092</v>
      </c>
      <c r="E681" s="930">
        <v>613720</v>
      </c>
      <c r="F681" s="714" t="s">
        <v>530</v>
      </c>
      <c r="G681" s="1154">
        <v>2500</v>
      </c>
      <c r="H681" s="1154"/>
      <c r="I681" s="1154"/>
      <c r="J681" s="1154">
        <f t="shared" si="133"/>
        <v>2500</v>
      </c>
      <c r="K681" s="1154">
        <v>0</v>
      </c>
      <c r="L681" s="1154"/>
      <c r="M681" s="1154"/>
      <c r="N681" s="1154">
        <f t="shared" si="134"/>
        <v>0</v>
      </c>
      <c r="O681" s="1154">
        <f t="shared" si="135"/>
        <v>2500</v>
      </c>
      <c r="P681" s="1155">
        <f t="shared" si="136"/>
        <v>2500</v>
      </c>
    </row>
    <row r="682" spans="1:16" ht="36.75" customHeight="1">
      <c r="A682" s="625" t="s">
        <v>400</v>
      </c>
      <c r="B682" s="595" t="s">
        <v>390</v>
      </c>
      <c r="C682" s="691" t="s">
        <v>391</v>
      </c>
      <c r="D682" s="889">
        <v>1092</v>
      </c>
      <c r="E682" s="930">
        <v>613910</v>
      </c>
      <c r="F682" s="714" t="s">
        <v>502</v>
      </c>
      <c r="G682" s="1154">
        <v>2800</v>
      </c>
      <c r="H682" s="1154"/>
      <c r="I682" s="1154"/>
      <c r="J682" s="1154">
        <f t="shared" si="133"/>
        <v>2800</v>
      </c>
      <c r="K682" s="1154">
        <v>0</v>
      </c>
      <c r="L682" s="1154"/>
      <c r="M682" s="1154"/>
      <c r="N682" s="1154">
        <f t="shared" si="134"/>
        <v>0</v>
      </c>
      <c r="O682" s="1154">
        <f t="shared" si="135"/>
        <v>2800</v>
      </c>
      <c r="P682" s="1155">
        <f t="shared" si="136"/>
        <v>2800</v>
      </c>
    </row>
    <row r="683" spans="1:16" ht="36.75" customHeight="1">
      <c r="A683" s="625" t="s">
        <v>400</v>
      </c>
      <c r="B683" s="595" t="s">
        <v>390</v>
      </c>
      <c r="C683" s="691" t="s">
        <v>391</v>
      </c>
      <c r="D683" s="868">
        <v>1091</v>
      </c>
      <c r="E683" s="909" t="s">
        <v>768</v>
      </c>
      <c r="F683" s="1007" t="s">
        <v>769</v>
      </c>
      <c r="G683" s="1154">
        <v>50000</v>
      </c>
      <c r="H683" s="1154"/>
      <c r="I683" s="1154"/>
      <c r="J683" s="1154">
        <f t="shared" si="133"/>
        <v>50000</v>
      </c>
      <c r="K683" s="1154">
        <v>0</v>
      </c>
      <c r="L683" s="1154"/>
      <c r="M683" s="1154"/>
      <c r="N683" s="1154">
        <f t="shared" si="134"/>
        <v>0</v>
      </c>
      <c r="O683" s="1154">
        <f t="shared" si="135"/>
        <v>50000</v>
      </c>
      <c r="P683" s="1155">
        <f t="shared" si="136"/>
        <v>50000</v>
      </c>
    </row>
    <row r="684" spans="1:16" ht="40.5" customHeight="1">
      <c r="A684" s="625" t="s">
        <v>400</v>
      </c>
      <c r="B684" s="595" t="s">
        <v>390</v>
      </c>
      <c r="C684" s="691" t="s">
        <v>391</v>
      </c>
      <c r="D684" s="889">
        <v>1092</v>
      </c>
      <c r="E684" s="910" t="s">
        <v>65</v>
      </c>
      <c r="F684" s="714" t="s">
        <v>217</v>
      </c>
      <c r="G684" s="1154">
        <v>9000</v>
      </c>
      <c r="H684" s="1154"/>
      <c r="I684" s="1154"/>
      <c r="J684" s="1154">
        <f t="shared" si="133"/>
        <v>9000</v>
      </c>
      <c r="K684" s="1154">
        <v>0</v>
      </c>
      <c r="L684" s="1154"/>
      <c r="M684" s="1154"/>
      <c r="N684" s="1154">
        <f t="shared" si="134"/>
        <v>0</v>
      </c>
      <c r="O684" s="1154">
        <f t="shared" si="135"/>
        <v>9000</v>
      </c>
      <c r="P684" s="1155">
        <f t="shared" si="136"/>
        <v>9000</v>
      </c>
    </row>
    <row r="685" spans="1:16" ht="50.25" customHeight="1">
      <c r="A685" s="570" t="s">
        <v>400</v>
      </c>
      <c r="B685" s="571" t="s">
        <v>390</v>
      </c>
      <c r="C685" s="572" t="s">
        <v>391</v>
      </c>
      <c r="D685" s="904">
        <v>1092</v>
      </c>
      <c r="E685" s="890" t="s">
        <v>665</v>
      </c>
      <c r="F685" s="569" t="s">
        <v>94</v>
      </c>
      <c r="G685" s="1156">
        <v>415000</v>
      </c>
      <c r="H685" s="1156"/>
      <c r="I685" s="1156"/>
      <c r="J685" s="1156">
        <f t="shared" si="133"/>
        <v>415000</v>
      </c>
      <c r="K685" s="1156">
        <v>400000</v>
      </c>
      <c r="L685" s="1156"/>
      <c r="M685" s="1156"/>
      <c r="N685" s="1156">
        <f t="shared" si="134"/>
        <v>400000</v>
      </c>
      <c r="O685" s="1156">
        <f t="shared" si="135"/>
        <v>815000</v>
      </c>
      <c r="P685" s="1157">
        <f t="shared" si="136"/>
        <v>815000</v>
      </c>
    </row>
    <row r="686" spans="1:16" s="577" customFormat="1" ht="73.5" customHeight="1">
      <c r="A686" s="661" t="s">
        <v>400</v>
      </c>
      <c r="B686" s="905" t="s">
        <v>390</v>
      </c>
      <c r="C686" s="906" t="s">
        <v>391</v>
      </c>
      <c r="D686" s="904">
        <v>1092</v>
      </c>
      <c r="E686" s="656" t="s">
        <v>666</v>
      </c>
      <c r="F686" s="569" t="s">
        <v>216</v>
      </c>
      <c r="G686" s="1156">
        <v>30000</v>
      </c>
      <c r="H686" s="1156"/>
      <c r="I686" s="1156"/>
      <c r="J686" s="1156">
        <f t="shared" si="133"/>
        <v>30000</v>
      </c>
      <c r="K686" s="1156">
        <v>0</v>
      </c>
      <c r="L686" s="1156"/>
      <c r="M686" s="1156"/>
      <c r="N686" s="1156">
        <f t="shared" si="134"/>
        <v>0</v>
      </c>
      <c r="O686" s="1156">
        <f t="shared" si="135"/>
        <v>30000</v>
      </c>
      <c r="P686" s="1157">
        <f t="shared" si="136"/>
        <v>30000</v>
      </c>
    </row>
    <row r="687" spans="1:16" ht="39" customHeight="1">
      <c r="A687" s="625" t="s">
        <v>400</v>
      </c>
      <c r="B687" s="595" t="s">
        <v>390</v>
      </c>
      <c r="C687" s="691" t="s">
        <v>391</v>
      </c>
      <c r="D687" s="868">
        <v>1093</v>
      </c>
      <c r="E687" s="464">
        <v>614233</v>
      </c>
      <c r="F687" s="714" t="s">
        <v>473</v>
      </c>
      <c r="G687" s="1154">
        <v>10000</v>
      </c>
      <c r="H687" s="1154"/>
      <c r="I687" s="1154"/>
      <c r="J687" s="1154">
        <f t="shared" si="133"/>
        <v>10000</v>
      </c>
      <c r="K687" s="1154">
        <v>0</v>
      </c>
      <c r="L687" s="1154"/>
      <c r="M687" s="1154"/>
      <c r="N687" s="1154">
        <f t="shared" si="134"/>
        <v>0</v>
      </c>
      <c r="O687" s="1154">
        <f t="shared" si="135"/>
        <v>10000</v>
      </c>
      <c r="P687" s="1155">
        <f t="shared" si="136"/>
        <v>10000</v>
      </c>
    </row>
    <row r="688" spans="1:16" ht="39" customHeight="1">
      <c r="A688" s="625" t="s">
        <v>400</v>
      </c>
      <c r="B688" s="595" t="s">
        <v>390</v>
      </c>
      <c r="C688" s="691" t="s">
        <v>391</v>
      </c>
      <c r="D688" s="868">
        <v>1093</v>
      </c>
      <c r="E688" s="464" t="s">
        <v>54</v>
      </c>
      <c r="F688" s="714" t="s">
        <v>51</v>
      </c>
      <c r="G688" s="1154">
        <v>5000</v>
      </c>
      <c r="H688" s="1154"/>
      <c r="I688" s="1154"/>
      <c r="J688" s="1154">
        <f t="shared" si="133"/>
        <v>5000</v>
      </c>
      <c r="K688" s="1154">
        <v>49000</v>
      </c>
      <c r="L688" s="1154"/>
      <c r="M688" s="1154"/>
      <c r="N688" s="1154">
        <f t="shared" si="134"/>
        <v>49000</v>
      </c>
      <c r="O688" s="1154">
        <f t="shared" si="135"/>
        <v>54000</v>
      </c>
      <c r="P688" s="1155">
        <f t="shared" si="136"/>
        <v>54000</v>
      </c>
    </row>
    <row r="689" spans="1:16" ht="54" customHeight="1">
      <c r="A689" s="570" t="s">
        <v>400</v>
      </c>
      <c r="B689" s="571" t="s">
        <v>390</v>
      </c>
      <c r="C689" s="572" t="s">
        <v>391</v>
      </c>
      <c r="D689" s="931">
        <v>1091</v>
      </c>
      <c r="E689" s="656" t="s">
        <v>901</v>
      </c>
      <c r="F689" s="569" t="s">
        <v>902</v>
      </c>
      <c r="G689" s="1156">
        <v>10000</v>
      </c>
      <c r="H689" s="1156"/>
      <c r="I689" s="1156"/>
      <c r="J689" s="1156">
        <f t="shared" si="133"/>
        <v>10000</v>
      </c>
      <c r="K689" s="1156">
        <v>0</v>
      </c>
      <c r="L689" s="1156"/>
      <c r="M689" s="1156"/>
      <c r="N689" s="1156">
        <f t="shared" si="134"/>
        <v>0</v>
      </c>
      <c r="O689" s="1156">
        <f t="shared" si="135"/>
        <v>10000</v>
      </c>
      <c r="P689" s="1157">
        <f t="shared" si="136"/>
        <v>10000</v>
      </c>
    </row>
    <row r="690" spans="1:16" ht="43.5" customHeight="1">
      <c r="A690" s="570" t="s">
        <v>400</v>
      </c>
      <c r="B690" s="571" t="s">
        <v>390</v>
      </c>
      <c r="C690" s="572" t="s">
        <v>391</v>
      </c>
      <c r="D690" s="931">
        <v>1091</v>
      </c>
      <c r="E690" s="656" t="s">
        <v>909</v>
      </c>
      <c r="F690" s="569" t="s">
        <v>910</v>
      </c>
      <c r="G690" s="1156">
        <v>150000</v>
      </c>
      <c r="H690" s="1156"/>
      <c r="I690" s="1156"/>
      <c r="J690" s="1156">
        <f t="shared" si="133"/>
        <v>150000</v>
      </c>
      <c r="K690" s="1156">
        <v>0</v>
      </c>
      <c r="L690" s="1156"/>
      <c r="M690" s="1156"/>
      <c r="N690" s="1156">
        <f t="shared" si="134"/>
        <v>0</v>
      </c>
      <c r="O690" s="1156">
        <f t="shared" si="135"/>
        <v>150000</v>
      </c>
      <c r="P690" s="1157">
        <f t="shared" si="136"/>
        <v>150000</v>
      </c>
    </row>
    <row r="691" spans="1:16" ht="39" customHeight="1">
      <c r="A691" s="625" t="s">
        <v>400</v>
      </c>
      <c r="B691" s="595" t="s">
        <v>390</v>
      </c>
      <c r="C691" s="691" t="s">
        <v>391</v>
      </c>
      <c r="D691" s="921">
        <v>1092</v>
      </c>
      <c r="E691" s="930" t="s">
        <v>667</v>
      </c>
      <c r="F691" s="598" t="s">
        <v>668</v>
      </c>
      <c r="G691" s="1154">
        <v>278000</v>
      </c>
      <c r="H691" s="1154"/>
      <c r="I691" s="1154"/>
      <c r="J691" s="1154">
        <f t="shared" si="133"/>
        <v>278000</v>
      </c>
      <c r="K691" s="1154">
        <v>0</v>
      </c>
      <c r="L691" s="1154"/>
      <c r="M691" s="1154"/>
      <c r="N691" s="1154">
        <f t="shared" si="134"/>
        <v>0</v>
      </c>
      <c r="O691" s="1154">
        <f t="shared" si="135"/>
        <v>278000</v>
      </c>
      <c r="P691" s="1155">
        <f t="shared" si="136"/>
        <v>278000</v>
      </c>
    </row>
    <row r="692" spans="1:16" ht="52.5" customHeight="1">
      <c r="A692" s="570" t="s">
        <v>400</v>
      </c>
      <c r="B692" s="571" t="s">
        <v>390</v>
      </c>
      <c r="C692" s="572" t="s">
        <v>391</v>
      </c>
      <c r="D692" s="983">
        <v>1093</v>
      </c>
      <c r="E692" s="933" t="s">
        <v>987</v>
      </c>
      <c r="F692" s="911" t="s">
        <v>988</v>
      </c>
      <c r="G692" s="1156">
        <v>5000</v>
      </c>
      <c r="H692" s="1156"/>
      <c r="I692" s="1156"/>
      <c r="J692" s="1156">
        <f t="shared" si="133"/>
        <v>5000</v>
      </c>
      <c r="K692" s="1204">
        <v>0</v>
      </c>
      <c r="L692" s="1156"/>
      <c r="M692" s="1156"/>
      <c r="N692" s="1156">
        <f t="shared" si="134"/>
        <v>0</v>
      </c>
      <c r="O692" s="1156">
        <f t="shared" si="135"/>
        <v>5000</v>
      </c>
      <c r="P692" s="1157">
        <f t="shared" si="136"/>
        <v>5000</v>
      </c>
    </row>
    <row r="693" spans="1:16" ht="51.75" customHeight="1">
      <c r="A693" s="892"/>
      <c r="B693" s="893"/>
      <c r="C693" s="924"/>
      <c r="D693" s="928"/>
      <c r="E693" s="635">
        <v>820000</v>
      </c>
      <c r="F693" s="929" t="s">
        <v>654</v>
      </c>
      <c r="G693" s="1158"/>
      <c r="H693" s="1158"/>
      <c r="I693" s="1158"/>
      <c r="J693" s="1158"/>
      <c r="K693" s="1158"/>
      <c r="L693" s="1158"/>
      <c r="M693" s="1158"/>
      <c r="N693" s="1158"/>
      <c r="O693" s="1158"/>
      <c r="P693" s="1159"/>
    </row>
    <row r="694" spans="1:16" ht="45.75" customHeight="1">
      <c r="A694" s="1311" t="s">
        <v>400</v>
      </c>
      <c r="B694" s="1312" t="s">
        <v>390</v>
      </c>
      <c r="C694" s="1336" t="s">
        <v>391</v>
      </c>
      <c r="D694" s="1339">
        <v>1092</v>
      </c>
      <c r="E694" s="1313">
        <v>821300</v>
      </c>
      <c r="F694" s="1362" t="s">
        <v>528</v>
      </c>
      <c r="G694" s="1315">
        <v>5200</v>
      </c>
      <c r="H694" s="1315"/>
      <c r="I694" s="1315">
        <v>5200</v>
      </c>
      <c r="J694" s="1315">
        <f>G694+H694-I694</f>
        <v>0</v>
      </c>
      <c r="K694" s="1315">
        <v>0</v>
      </c>
      <c r="L694" s="1315"/>
      <c r="M694" s="1315"/>
      <c r="N694" s="1315">
        <f>K694+L694-M694</f>
        <v>0</v>
      </c>
      <c r="O694" s="1315">
        <f>G694+K694</f>
        <v>5200</v>
      </c>
      <c r="P694" s="1316">
        <f>J694+N694</f>
        <v>0</v>
      </c>
    </row>
    <row r="695" spans="1:16" ht="74.25" customHeight="1" thickBot="1">
      <c r="A695" s="451"/>
      <c r="B695" s="452"/>
      <c r="C695" s="452"/>
      <c r="D695" s="453"/>
      <c r="E695" s="706"/>
      <c r="F695" s="754" t="s">
        <v>734</v>
      </c>
      <c r="G695" s="1160">
        <f aca="true" t="shared" si="137" ref="G695:P695">SUM(G673:G694)</f>
        <v>1623400</v>
      </c>
      <c r="H695" s="1160">
        <f t="shared" si="137"/>
        <v>0</v>
      </c>
      <c r="I695" s="1160">
        <f t="shared" si="137"/>
        <v>5200</v>
      </c>
      <c r="J695" s="1160">
        <f t="shared" si="137"/>
        <v>1618200</v>
      </c>
      <c r="K695" s="1160">
        <f t="shared" si="137"/>
        <v>449000</v>
      </c>
      <c r="L695" s="1160">
        <f t="shared" si="137"/>
        <v>0</v>
      </c>
      <c r="M695" s="1160">
        <f t="shared" si="137"/>
        <v>0</v>
      </c>
      <c r="N695" s="1160">
        <f t="shared" si="137"/>
        <v>449000</v>
      </c>
      <c r="O695" s="1161">
        <f t="shared" si="137"/>
        <v>2072400</v>
      </c>
      <c r="P695" s="1162">
        <f t="shared" si="137"/>
        <v>2067200</v>
      </c>
    </row>
    <row r="696" spans="1:16" ht="48" customHeight="1">
      <c r="A696" s="424"/>
      <c r="B696" s="425"/>
      <c r="C696" s="425"/>
      <c r="D696" s="420"/>
      <c r="E696" s="708"/>
      <c r="F696" s="518" t="s">
        <v>1142</v>
      </c>
      <c r="G696" s="1175"/>
      <c r="H696" s="1175"/>
      <c r="I696" s="1175"/>
      <c r="J696" s="1175"/>
      <c r="K696" s="1175"/>
      <c r="L696" s="1175"/>
      <c r="M696" s="1175"/>
      <c r="N696" s="1175"/>
      <c r="O696" s="1175"/>
      <c r="P696" s="1176"/>
    </row>
    <row r="697" spans="1:16" ht="52.5" customHeight="1">
      <c r="A697" s="424"/>
      <c r="B697" s="425"/>
      <c r="C697" s="425"/>
      <c r="D697" s="420"/>
      <c r="E697" s="708"/>
      <c r="F697" s="473" t="s">
        <v>1076</v>
      </c>
      <c r="G697" s="1177"/>
      <c r="H697" s="1177"/>
      <c r="I697" s="1177"/>
      <c r="J697" s="1177"/>
      <c r="K697" s="1177"/>
      <c r="L697" s="1177"/>
      <c r="M697" s="1177"/>
      <c r="N697" s="1177"/>
      <c r="O697" s="1177">
        <v>22</v>
      </c>
      <c r="P697" s="1178"/>
    </row>
    <row r="698" spans="1:16" s="519" customFormat="1" ht="45.75" customHeight="1" thickBot="1">
      <c r="A698" s="648"/>
      <c r="B698" s="649"/>
      <c r="C698" s="649"/>
      <c r="D698" s="477"/>
      <c r="E698" s="755"/>
      <c r="F698" s="515" t="s">
        <v>834</v>
      </c>
      <c r="G698" s="1201"/>
      <c r="H698" s="1201"/>
      <c r="I698" s="1201"/>
      <c r="J698" s="1201"/>
      <c r="K698" s="1201"/>
      <c r="L698" s="1201"/>
      <c r="M698" s="1201"/>
      <c r="N698" s="1201"/>
      <c r="O698" s="1201">
        <v>26</v>
      </c>
      <c r="P698" s="1202"/>
    </row>
    <row r="699" spans="1:16" s="527" customFormat="1" ht="276" customHeight="1">
      <c r="A699" s="401" t="s">
        <v>494</v>
      </c>
      <c r="B699" s="402" t="s">
        <v>495</v>
      </c>
      <c r="C699" s="403" t="s">
        <v>677</v>
      </c>
      <c r="D699" s="404" t="s">
        <v>497</v>
      </c>
      <c r="E699" s="404" t="s">
        <v>188</v>
      </c>
      <c r="F699" s="405" t="s">
        <v>496</v>
      </c>
      <c r="G699" s="813" t="s">
        <v>1322</v>
      </c>
      <c r="H699" s="813" t="s">
        <v>1324</v>
      </c>
      <c r="I699" s="813" t="s">
        <v>1325</v>
      </c>
      <c r="J699" s="813" t="s">
        <v>1326</v>
      </c>
      <c r="K699" s="813" t="s">
        <v>1323</v>
      </c>
      <c r="L699" s="813" t="s">
        <v>1327</v>
      </c>
      <c r="M699" s="813" t="s">
        <v>1328</v>
      </c>
      <c r="N699" s="813" t="s">
        <v>1329</v>
      </c>
      <c r="O699" s="1278" t="s">
        <v>1321</v>
      </c>
      <c r="P699" s="1149" t="s">
        <v>1330</v>
      </c>
    </row>
    <row r="700" spans="1:16" ht="29.25" customHeight="1">
      <c r="A700" s="1533">
        <v>0</v>
      </c>
      <c r="B700" s="1534"/>
      <c r="C700" s="1534"/>
      <c r="D700" s="409">
        <v>1</v>
      </c>
      <c r="E700" s="409">
        <v>2</v>
      </c>
      <c r="F700" s="410">
        <v>3</v>
      </c>
      <c r="G700" s="1150">
        <v>4</v>
      </c>
      <c r="H700" s="1150">
        <v>5</v>
      </c>
      <c r="I700" s="1150">
        <v>6</v>
      </c>
      <c r="J700" s="1150">
        <v>7</v>
      </c>
      <c r="K700" s="1150">
        <v>8</v>
      </c>
      <c r="L700" s="1150">
        <v>9</v>
      </c>
      <c r="M700" s="1150">
        <v>10</v>
      </c>
      <c r="N700" s="1150">
        <v>11</v>
      </c>
      <c r="O700" s="1150">
        <v>12</v>
      </c>
      <c r="P700" s="1151">
        <v>13</v>
      </c>
    </row>
    <row r="701" spans="1:16" ht="63" customHeight="1">
      <c r="A701" s="483" t="s">
        <v>400</v>
      </c>
      <c r="B701" s="484"/>
      <c r="C701" s="484"/>
      <c r="D701" s="413"/>
      <c r="E701" s="530"/>
      <c r="F701" s="601" t="s">
        <v>732</v>
      </c>
      <c r="G701" s="415"/>
      <c r="H701" s="415"/>
      <c r="I701" s="415"/>
      <c r="J701" s="415"/>
      <c r="K701" s="415"/>
      <c r="L701" s="415"/>
      <c r="M701" s="415"/>
      <c r="N701" s="415"/>
      <c r="O701" s="415"/>
      <c r="P701" s="1152"/>
    </row>
    <row r="702" spans="1:16" ht="75.75" customHeight="1">
      <c r="A702" s="488" t="s">
        <v>400</v>
      </c>
      <c r="B702" s="489" t="s">
        <v>390</v>
      </c>
      <c r="C702" s="489"/>
      <c r="D702" s="420"/>
      <c r="E702" s="531"/>
      <c r="F702" s="492" t="s">
        <v>771</v>
      </c>
      <c r="G702" s="422"/>
      <c r="H702" s="422"/>
      <c r="I702" s="422"/>
      <c r="J702" s="422"/>
      <c r="K702" s="422"/>
      <c r="L702" s="422"/>
      <c r="M702" s="422"/>
      <c r="N702" s="422"/>
      <c r="O702" s="422"/>
      <c r="P702" s="1153"/>
    </row>
    <row r="703" spans="1:16" ht="51.75" customHeight="1">
      <c r="A703" s="424"/>
      <c r="B703" s="425"/>
      <c r="C703" s="425"/>
      <c r="D703" s="420"/>
      <c r="E703" s="426">
        <v>610000</v>
      </c>
      <c r="F703" s="534" t="s">
        <v>513</v>
      </c>
      <c r="G703" s="422"/>
      <c r="H703" s="422"/>
      <c r="I703" s="422"/>
      <c r="J703" s="422"/>
      <c r="K703" s="422"/>
      <c r="L703" s="422"/>
      <c r="M703" s="422"/>
      <c r="N703" s="422"/>
      <c r="O703" s="422"/>
      <c r="P703" s="1153"/>
    </row>
    <row r="704" spans="1:16" ht="53.25" customHeight="1">
      <c r="A704" s="428" t="s">
        <v>400</v>
      </c>
      <c r="B704" s="429" t="s">
        <v>390</v>
      </c>
      <c r="C704" s="430" t="s">
        <v>42</v>
      </c>
      <c r="D704" s="537">
        <v>1092</v>
      </c>
      <c r="E704" s="538" t="s">
        <v>290</v>
      </c>
      <c r="F704" s="450" t="s">
        <v>482</v>
      </c>
      <c r="G704" s="1154">
        <v>0</v>
      </c>
      <c r="H704" s="1154"/>
      <c r="I704" s="1154"/>
      <c r="J704" s="1154">
        <f>G704+H704-I704</f>
        <v>0</v>
      </c>
      <c r="K704" s="1154">
        <v>450000</v>
      </c>
      <c r="L704" s="1154"/>
      <c r="M704" s="1154"/>
      <c r="N704" s="1154">
        <f>K704+L704-M704</f>
        <v>450000</v>
      </c>
      <c r="O704" s="1154">
        <f>G704+K704</f>
        <v>450000</v>
      </c>
      <c r="P704" s="1155">
        <f>J704+N704</f>
        <v>450000</v>
      </c>
    </row>
    <row r="705" spans="1:16" ht="76.5" customHeight="1" thickBot="1">
      <c r="A705" s="574"/>
      <c r="B705" s="575"/>
      <c r="C705" s="576"/>
      <c r="D705" s="541"/>
      <c r="E705" s="542"/>
      <c r="F705" s="754" t="s">
        <v>735</v>
      </c>
      <c r="G705" s="1160">
        <f aca="true" t="shared" si="138" ref="G705:P705">SUM(G704)</f>
        <v>0</v>
      </c>
      <c r="H705" s="1160">
        <f t="shared" si="138"/>
        <v>0</v>
      </c>
      <c r="I705" s="1160">
        <f t="shared" si="138"/>
        <v>0</v>
      </c>
      <c r="J705" s="1160">
        <f t="shared" si="138"/>
        <v>0</v>
      </c>
      <c r="K705" s="1160">
        <f t="shared" si="138"/>
        <v>450000</v>
      </c>
      <c r="L705" s="1160">
        <f t="shared" si="138"/>
        <v>0</v>
      </c>
      <c r="M705" s="1160">
        <f t="shared" si="138"/>
        <v>0</v>
      </c>
      <c r="N705" s="1160">
        <f t="shared" si="138"/>
        <v>450000</v>
      </c>
      <c r="O705" s="1161">
        <f t="shared" si="138"/>
        <v>450000</v>
      </c>
      <c r="P705" s="1162">
        <f t="shared" si="138"/>
        <v>450000</v>
      </c>
    </row>
    <row r="706" spans="1:16" ht="277.5" customHeight="1">
      <c r="A706" s="401" t="s">
        <v>494</v>
      </c>
      <c r="B706" s="402" t="s">
        <v>495</v>
      </c>
      <c r="C706" s="403" t="s">
        <v>687</v>
      </c>
      <c r="D706" s="404" t="s">
        <v>497</v>
      </c>
      <c r="E706" s="404" t="s">
        <v>188</v>
      </c>
      <c r="F706" s="405" t="s">
        <v>496</v>
      </c>
      <c r="G706" s="813" t="s">
        <v>1322</v>
      </c>
      <c r="H706" s="813" t="s">
        <v>1324</v>
      </c>
      <c r="I706" s="813" t="s">
        <v>1325</v>
      </c>
      <c r="J706" s="813" t="s">
        <v>1326</v>
      </c>
      <c r="K706" s="813" t="s">
        <v>1323</v>
      </c>
      <c r="L706" s="813" t="s">
        <v>1327</v>
      </c>
      <c r="M706" s="813" t="s">
        <v>1328</v>
      </c>
      <c r="N706" s="813" t="s">
        <v>1329</v>
      </c>
      <c r="O706" s="1278" t="s">
        <v>1321</v>
      </c>
      <c r="P706" s="1149" t="s">
        <v>1330</v>
      </c>
    </row>
    <row r="707" spans="1:16" ht="27" customHeight="1">
      <c r="A707" s="1533">
        <v>0</v>
      </c>
      <c r="B707" s="1534"/>
      <c r="C707" s="1534"/>
      <c r="D707" s="409">
        <v>1</v>
      </c>
      <c r="E707" s="409">
        <v>2</v>
      </c>
      <c r="F707" s="410">
        <v>3</v>
      </c>
      <c r="G707" s="1150">
        <v>4</v>
      </c>
      <c r="H707" s="1150">
        <v>5</v>
      </c>
      <c r="I707" s="1150">
        <v>6</v>
      </c>
      <c r="J707" s="1150">
        <v>7</v>
      </c>
      <c r="K707" s="1150">
        <v>8</v>
      </c>
      <c r="L707" s="1150">
        <v>9</v>
      </c>
      <c r="M707" s="1150">
        <v>10</v>
      </c>
      <c r="N707" s="1150">
        <v>11</v>
      </c>
      <c r="O707" s="1150">
        <v>12</v>
      </c>
      <c r="P707" s="1151">
        <v>13</v>
      </c>
    </row>
    <row r="708" spans="1:16" ht="63" customHeight="1">
      <c r="A708" s="483" t="s">
        <v>400</v>
      </c>
      <c r="B708" s="484"/>
      <c r="C708" s="484"/>
      <c r="D708" s="413"/>
      <c r="E708" s="530"/>
      <c r="F708" s="601" t="s">
        <v>732</v>
      </c>
      <c r="G708" s="415"/>
      <c r="H708" s="415"/>
      <c r="I708" s="415"/>
      <c r="J708" s="415"/>
      <c r="K708" s="415"/>
      <c r="L708" s="415"/>
      <c r="M708" s="415"/>
      <c r="N708" s="415"/>
      <c r="O708" s="415"/>
      <c r="P708" s="1152"/>
    </row>
    <row r="709" spans="1:16" ht="54" customHeight="1">
      <c r="A709" s="488" t="s">
        <v>400</v>
      </c>
      <c r="B709" s="489" t="s">
        <v>392</v>
      </c>
      <c r="C709" s="489"/>
      <c r="D709" s="420"/>
      <c r="E709" s="531"/>
      <c r="F709" s="492" t="s">
        <v>765</v>
      </c>
      <c r="G709" s="422"/>
      <c r="H709" s="422"/>
      <c r="I709" s="422"/>
      <c r="J709" s="422"/>
      <c r="K709" s="422"/>
      <c r="L709" s="422"/>
      <c r="M709" s="422"/>
      <c r="N709" s="422"/>
      <c r="O709" s="422"/>
      <c r="P709" s="1153"/>
    </row>
    <row r="710" spans="1:16" ht="48" customHeight="1">
      <c r="A710" s="424"/>
      <c r="B710" s="425"/>
      <c r="C710" s="425"/>
      <c r="D710" s="420"/>
      <c r="E710" s="426">
        <v>610000</v>
      </c>
      <c r="F710" s="534" t="s">
        <v>513</v>
      </c>
      <c r="G710" s="422"/>
      <c r="H710" s="422"/>
      <c r="I710" s="422"/>
      <c r="J710" s="422"/>
      <c r="K710" s="422"/>
      <c r="L710" s="422"/>
      <c r="M710" s="422"/>
      <c r="N710" s="422"/>
      <c r="O710" s="422"/>
      <c r="P710" s="1153"/>
    </row>
    <row r="711" spans="1:16" ht="55.5" customHeight="1">
      <c r="A711" s="1366" t="s">
        <v>400</v>
      </c>
      <c r="B711" s="1367" t="s">
        <v>392</v>
      </c>
      <c r="C711" s="1449" t="s">
        <v>391</v>
      </c>
      <c r="D711" s="1450">
        <v>1091</v>
      </c>
      <c r="E711" s="1355" t="s">
        <v>664</v>
      </c>
      <c r="F711" s="1340" t="s">
        <v>624</v>
      </c>
      <c r="G711" s="1315">
        <v>1000</v>
      </c>
      <c r="H711" s="1315">
        <v>1000</v>
      </c>
      <c r="I711" s="1315"/>
      <c r="J711" s="1315">
        <f>G711+H711-I711</f>
        <v>2000</v>
      </c>
      <c r="K711" s="1315">
        <v>0</v>
      </c>
      <c r="L711" s="1315"/>
      <c r="M711" s="1315"/>
      <c r="N711" s="1315">
        <f>K711+L711-M711</f>
        <v>0</v>
      </c>
      <c r="O711" s="1315">
        <f>G711+K711</f>
        <v>1000</v>
      </c>
      <c r="P711" s="1316">
        <f>J711+N711</f>
        <v>2000</v>
      </c>
    </row>
    <row r="712" spans="1:16" ht="45" customHeight="1">
      <c r="A712" s="1363" t="s">
        <v>400</v>
      </c>
      <c r="B712" s="1364" t="s">
        <v>392</v>
      </c>
      <c r="C712" s="1451" t="s">
        <v>391</v>
      </c>
      <c r="D712" s="1337">
        <v>1091</v>
      </c>
      <c r="E712" s="1353">
        <v>613320</v>
      </c>
      <c r="F712" s="1383" t="s">
        <v>500</v>
      </c>
      <c r="G712" s="1315">
        <v>1000</v>
      </c>
      <c r="H712" s="1315">
        <v>2000</v>
      </c>
      <c r="I712" s="1315"/>
      <c r="J712" s="1315">
        <f>G712+H712-I712</f>
        <v>3000</v>
      </c>
      <c r="K712" s="1315">
        <v>0</v>
      </c>
      <c r="L712" s="1315"/>
      <c r="M712" s="1315"/>
      <c r="N712" s="1315">
        <f>K712+L712-M712</f>
        <v>0</v>
      </c>
      <c r="O712" s="1315">
        <f>G712+K712</f>
        <v>1000</v>
      </c>
      <c r="P712" s="1316">
        <f>J712+N712</f>
        <v>3000</v>
      </c>
    </row>
    <row r="713" spans="1:16" ht="46.5" customHeight="1">
      <c r="A713" s="1363" t="s">
        <v>400</v>
      </c>
      <c r="B713" s="1364" t="s">
        <v>392</v>
      </c>
      <c r="C713" s="1451" t="s">
        <v>391</v>
      </c>
      <c r="D713" s="1337">
        <v>1091</v>
      </c>
      <c r="E713" s="1353">
        <v>613720</v>
      </c>
      <c r="F713" s="1383" t="s">
        <v>530</v>
      </c>
      <c r="G713" s="1315">
        <v>5000</v>
      </c>
      <c r="H713" s="1315">
        <v>25000</v>
      </c>
      <c r="I713" s="1315"/>
      <c r="J713" s="1315">
        <f>G713+H713-I713</f>
        <v>30000</v>
      </c>
      <c r="K713" s="1315">
        <v>0</v>
      </c>
      <c r="L713" s="1315"/>
      <c r="M713" s="1315"/>
      <c r="N713" s="1315">
        <f>K713+L713-M713</f>
        <v>0</v>
      </c>
      <c r="O713" s="1315">
        <f>G713+K713</f>
        <v>5000</v>
      </c>
      <c r="P713" s="1316">
        <f>J713+N713</f>
        <v>30000</v>
      </c>
    </row>
    <row r="714" spans="1:16" ht="46.5" customHeight="1">
      <c r="A714" s="1363" t="s">
        <v>400</v>
      </c>
      <c r="B714" s="1364" t="s">
        <v>392</v>
      </c>
      <c r="C714" s="1451" t="s">
        <v>391</v>
      </c>
      <c r="D714" s="1337">
        <v>1091</v>
      </c>
      <c r="E714" s="1317">
        <v>613810</v>
      </c>
      <c r="F714" s="1318" t="s">
        <v>240</v>
      </c>
      <c r="G714" s="1315">
        <v>5000</v>
      </c>
      <c r="H714" s="1315">
        <v>2000</v>
      </c>
      <c r="I714" s="1315"/>
      <c r="J714" s="1315">
        <f>G714+H714-I714</f>
        <v>7000</v>
      </c>
      <c r="K714" s="1315">
        <v>0</v>
      </c>
      <c r="L714" s="1315"/>
      <c r="M714" s="1315"/>
      <c r="N714" s="1315">
        <f>K714+L714-M714</f>
        <v>0</v>
      </c>
      <c r="O714" s="1315">
        <f>G714+K714</f>
        <v>5000</v>
      </c>
      <c r="P714" s="1316">
        <f>J714+N714</f>
        <v>7000</v>
      </c>
    </row>
    <row r="715" spans="1:16" ht="46.5" customHeight="1">
      <c r="A715" s="1363" t="s">
        <v>400</v>
      </c>
      <c r="B715" s="1367" t="s">
        <v>392</v>
      </c>
      <c r="C715" s="1449" t="s">
        <v>391</v>
      </c>
      <c r="D715" s="1337">
        <v>1091</v>
      </c>
      <c r="E715" s="1353">
        <v>613910</v>
      </c>
      <c r="F715" s="1383" t="s">
        <v>502</v>
      </c>
      <c r="G715" s="1315">
        <v>4000</v>
      </c>
      <c r="H715" s="1315">
        <v>4043.37</v>
      </c>
      <c r="I715" s="1315"/>
      <c r="J715" s="1315">
        <f>G715+H715-I715</f>
        <v>8043.37</v>
      </c>
      <c r="K715" s="1315">
        <v>0</v>
      </c>
      <c r="L715" s="1315"/>
      <c r="M715" s="1315"/>
      <c r="N715" s="1315">
        <f>K715+L715-M715</f>
        <v>0</v>
      </c>
      <c r="O715" s="1315">
        <f>G715+K715</f>
        <v>4000</v>
      </c>
      <c r="P715" s="1316">
        <f>J715+N715</f>
        <v>8043.37</v>
      </c>
    </row>
    <row r="716" spans="1:16" ht="84" customHeight="1" thickBot="1">
      <c r="A716" s="757"/>
      <c r="B716" s="758"/>
      <c r="C716" s="758"/>
      <c r="D716" s="472"/>
      <c r="E716" s="759"/>
      <c r="F716" s="754" t="s">
        <v>736</v>
      </c>
      <c r="G716" s="1164">
        <f aca="true" t="shared" si="139" ref="G716:P716">SUM(G711:G715)</f>
        <v>16000</v>
      </c>
      <c r="H716" s="1164">
        <f t="shared" si="139"/>
        <v>34043.37</v>
      </c>
      <c r="I716" s="1164">
        <f t="shared" si="139"/>
        <v>0</v>
      </c>
      <c r="J716" s="1164">
        <f t="shared" si="139"/>
        <v>50043.37</v>
      </c>
      <c r="K716" s="1164">
        <f t="shared" si="139"/>
        <v>0</v>
      </c>
      <c r="L716" s="1164">
        <f t="shared" si="139"/>
        <v>0</v>
      </c>
      <c r="M716" s="1164">
        <f t="shared" si="139"/>
        <v>0</v>
      </c>
      <c r="N716" s="1164">
        <f t="shared" si="139"/>
        <v>0</v>
      </c>
      <c r="O716" s="1161">
        <f t="shared" si="139"/>
        <v>16000</v>
      </c>
      <c r="P716" s="1162">
        <f t="shared" si="139"/>
        <v>50043.37</v>
      </c>
    </row>
    <row r="717" spans="1:16" ht="284.25" customHeight="1">
      <c r="A717" s="401" t="s">
        <v>494</v>
      </c>
      <c r="B717" s="402" t="s">
        <v>495</v>
      </c>
      <c r="C717" s="403" t="s">
        <v>687</v>
      </c>
      <c r="D717" s="404" t="s">
        <v>497</v>
      </c>
      <c r="E717" s="404" t="s">
        <v>188</v>
      </c>
      <c r="F717" s="405" t="s">
        <v>496</v>
      </c>
      <c r="G717" s="813" t="s">
        <v>1322</v>
      </c>
      <c r="H717" s="813" t="s">
        <v>1324</v>
      </c>
      <c r="I717" s="813" t="s">
        <v>1325</v>
      </c>
      <c r="J717" s="813" t="s">
        <v>1326</v>
      </c>
      <c r="K717" s="813" t="s">
        <v>1323</v>
      </c>
      <c r="L717" s="813" t="s">
        <v>1327</v>
      </c>
      <c r="M717" s="813" t="s">
        <v>1328</v>
      </c>
      <c r="N717" s="813" t="s">
        <v>1329</v>
      </c>
      <c r="O717" s="1278" t="s">
        <v>1321</v>
      </c>
      <c r="P717" s="1149" t="s">
        <v>1330</v>
      </c>
    </row>
    <row r="718" spans="1:16" ht="27" customHeight="1">
      <c r="A718" s="1533">
        <v>0</v>
      </c>
      <c r="B718" s="1534"/>
      <c r="C718" s="1534"/>
      <c r="D718" s="409">
        <v>1</v>
      </c>
      <c r="E718" s="409">
        <v>2</v>
      </c>
      <c r="F718" s="410">
        <v>3</v>
      </c>
      <c r="G718" s="1150">
        <v>4</v>
      </c>
      <c r="H718" s="1150">
        <v>5</v>
      </c>
      <c r="I718" s="1150">
        <v>6</v>
      </c>
      <c r="J718" s="1150">
        <v>7</v>
      </c>
      <c r="K718" s="1150">
        <v>8</v>
      </c>
      <c r="L718" s="1150">
        <v>9</v>
      </c>
      <c r="M718" s="1150">
        <v>10</v>
      </c>
      <c r="N718" s="1150">
        <v>11</v>
      </c>
      <c r="O718" s="1150">
        <v>12</v>
      </c>
      <c r="P718" s="1151">
        <v>13</v>
      </c>
    </row>
    <row r="719" spans="1:16" ht="68.25" customHeight="1">
      <c r="A719" s="483" t="s">
        <v>400</v>
      </c>
      <c r="B719" s="484"/>
      <c r="C719" s="484"/>
      <c r="D719" s="413"/>
      <c r="E719" s="530"/>
      <c r="F719" s="601" t="s">
        <v>732</v>
      </c>
      <c r="G719" s="415"/>
      <c r="H719" s="415"/>
      <c r="I719" s="415"/>
      <c r="J719" s="415"/>
      <c r="K719" s="415"/>
      <c r="L719" s="415"/>
      <c r="M719" s="415"/>
      <c r="N719" s="415"/>
      <c r="O719" s="415"/>
      <c r="P719" s="1152"/>
    </row>
    <row r="720" spans="1:16" ht="60" customHeight="1">
      <c r="A720" s="488" t="s">
        <v>400</v>
      </c>
      <c r="B720" s="489" t="s">
        <v>393</v>
      </c>
      <c r="C720" s="489"/>
      <c r="D720" s="420"/>
      <c r="E720" s="531"/>
      <c r="F720" s="492" t="s">
        <v>1106</v>
      </c>
      <c r="G720" s="422"/>
      <c r="H720" s="422"/>
      <c r="I720" s="422"/>
      <c r="J720" s="422"/>
      <c r="K720" s="422"/>
      <c r="L720" s="422"/>
      <c r="M720" s="422"/>
      <c r="N720" s="422"/>
      <c r="O720" s="422"/>
      <c r="P720" s="1153"/>
    </row>
    <row r="721" spans="1:16" ht="60" customHeight="1">
      <c r="A721" s="488"/>
      <c r="B721" s="489"/>
      <c r="C721" s="489"/>
      <c r="D721" s="420"/>
      <c r="E721" s="426">
        <v>610000</v>
      </c>
      <c r="F721" s="534" t="s">
        <v>513</v>
      </c>
      <c r="G721" s="422"/>
      <c r="H721" s="422"/>
      <c r="I721" s="422"/>
      <c r="J721" s="422"/>
      <c r="K721" s="422"/>
      <c r="L721" s="422"/>
      <c r="M721" s="422"/>
      <c r="N721" s="422"/>
      <c r="O721" s="422"/>
      <c r="P721" s="1153"/>
    </row>
    <row r="722" spans="1:16" ht="53.25" customHeight="1">
      <c r="A722" s="881" t="s">
        <v>400</v>
      </c>
      <c r="B722" s="882" t="s">
        <v>393</v>
      </c>
      <c r="C722" s="882" t="s">
        <v>391</v>
      </c>
      <c r="D722" s="895">
        <v>1091</v>
      </c>
      <c r="E722" s="909" t="s">
        <v>768</v>
      </c>
      <c r="F722" s="1007" t="s">
        <v>769</v>
      </c>
      <c r="G722" s="1154">
        <v>0</v>
      </c>
      <c r="H722" s="1154"/>
      <c r="I722" s="1154"/>
      <c r="J722" s="1154">
        <f>G722+H722-I722</f>
        <v>0</v>
      </c>
      <c r="K722" s="1154">
        <v>0</v>
      </c>
      <c r="L722" s="1154"/>
      <c r="M722" s="1154"/>
      <c r="N722" s="1154">
        <f>K722+L722-M722</f>
        <v>0</v>
      </c>
      <c r="O722" s="1154">
        <f>G722+K722</f>
        <v>0</v>
      </c>
      <c r="P722" s="1155">
        <f>J722+N722</f>
        <v>0</v>
      </c>
    </row>
    <row r="723" spans="1:16" ht="44.25" customHeight="1">
      <c r="A723" s="612"/>
      <c r="B723" s="613"/>
      <c r="C723" s="613"/>
      <c r="D723" s="928"/>
      <c r="E723" s="635">
        <v>820000</v>
      </c>
      <c r="F723" s="929" t="s">
        <v>654</v>
      </c>
      <c r="G723" s="1158"/>
      <c r="H723" s="1158"/>
      <c r="I723" s="1158"/>
      <c r="J723" s="1158"/>
      <c r="K723" s="1158"/>
      <c r="L723" s="1158"/>
      <c r="M723" s="1158"/>
      <c r="N723" s="1240"/>
      <c r="O723" s="1158"/>
      <c r="P723" s="1159"/>
    </row>
    <row r="724" spans="1:16" ht="50.25" customHeight="1">
      <c r="A724" s="625" t="s">
        <v>400</v>
      </c>
      <c r="B724" s="595" t="s">
        <v>393</v>
      </c>
      <c r="C724" s="595" t="s">
        <v>391</v>
      </c>
      <c r="D724" s="888">
        <v>1091</v>
      </c>
      <c r="E724" s="596" t="s">
        <v>84</v>
      </c>
      <c r="F724" s="762" t="s">
        <v>724</v>
      </c>
      <c r="G724" s="1154">
        <v>0</v>
      </c>
      <c r="H724" s="1154"/>
      <c r="I724" s="1154"/>
      <c r="J724" s="1154">
        <f>G724+H724-I724</f>
        <v>0</v>
      </c>
      <c r="K724" s="1154">
        <v>0</v>
      </c>
      <c r="L724" s="1154"/>
      <c r="M724" s="1154"/>
      <c r="N724" s="1154">
        <f>K724+L724-M724</f>
        <v>0</v>
      </c>
      <c r="O724" s="1154">
        <f>G724+K724</f>
        <v>0</v>
      </c>
      <c r="P724" s="1155">
        <f>J724+N724</f>
        <v>0</v>
      </c>
    </row>
    <row r="725" spans="1:16" ht="55.5" customHeight="1">
      <c r="A725" s="488"/>
      <c r="B725" s="489"/>
      <c r="C725" s="489" t="s">
        <v>764</v>
      </c>
      <c r="D725" s="420"/>
      <c r="E725" s="531"/>
      <c r="F725" s="492" t="s">
        <v>1103</v>
      </c>
      <c r="G725" s="1184">
        <f aca="true" t="shared" si="140" ref="G725:P725">SUM(G722:G724)</f>
        <v>0</v>
      </c>
      <c r="H725" s="1184">
        <f t="shared" si="140"/>
        <v>0</v>
      </c>
      <c r="I725" s="1184">
        <f t="shared" si="140"/>
        <v>0</v>
      </c>
      <c r="J725" s="1184">
        <f t="shared" si="140"/>
        <v>0</v>
      </c>
      <c r="K725" s="1184">
        <f t="shared" si="140"/>
        <v>0</v>
      </c>
      <c r="L725" s="1184">
        <f t="shared" si="140"/>
        <v>0</v>
      </c>
      <c r="M725" s="1184">
        <f t="shared" si="140"/>
        <v>0</v>
      </c>
      <c r="N725" s="1184">
        <f t="shared" si="140"/>
        <v>0</v>
      </c>
      <c r="O725" s="1184">
        <f t="shared" si="140"/>
        <v>0</v>
      </c>
      <c r="P725" s="1185">
        <f t="shared" si="140"/>
        <v>0</v>
      </c>
    </row>
    <row r="726" spans="1:16" ht="75" customHeight="1" thickBot="1">
      <c r="A726" s="451"/>
      <c r="B726" s="452"/>
      <c r="C726" s="452"/>
      <c r="D726" s="453"/>
      <c r="E726" s="593"/>
      <c r="F726" s="754" t="s">
        <v>737</v>
      </c>
      <c r="G726" s="1161">
        <f aca="true" t="shared" si="141" ref="G726:P726">SUM(G716,G705,G695,G725,)</f>
        <v>1639400</v>
      </c>
      <c r="H726" s="1161">
        <f t="shared" si="141"/>
        <v>34043.37</v>
      </c>
      <c r="I726" s="1161">
        <f t="shared" si="141"/>
        <v>5200</v>
      </c>
      <c r="J726" s="1161">
        <f t="shared" si="141"/>
        <v>1668243.37</v>
      </c>
      <c r="K726" s="1161">
        <f t="shared" si="141"/>
        <v>899000</v>
      </c>
      <c r="L726" s="1161">
        <f t="shared" si="141"/>
        <v>0</v>
      </c>
      <c r="M726" s="1161">
        <f t="shared" si="141"/>
        <v>0</v>
      </c>
      <c r="N726" s="1161">
        <f t="shared" si="141"/>
        <v>899000</v>
      </c>
      <c r="O726" s="1161">
        <f t="shared" si="141"/>
        <v>2538400</v>
      </c>
      <c r="P726" s="1162">
        <f t="shared" si="141"/>
        <v>2567243.37</v>
      </c>
    </row>
    <row r="727" spans="1:16" ht="271.5" customHeight="1">
      <c r="A727" s="401" t="s">
        <v>494</v>
      </c>
      <c r="B727" s="402" t="s">
        <v>495</v>
      </c>
      <c r="C727" s="403" t="s">
        <v>677</v>
      </c>
      <c r="D727" s="404" t="s">
        <v>497</v>
      </c>
      <c r="E727" s="404" t="s">
        <v>188</v>
      </c>
      <c r="F727" s="405" t="s">
        <v>496</v>
      </c>
      <c r="G727" s="813" t="s">
        <v>1322</v>
      </c>
      <c r="H727" s="813" t="s">
        <v>1324</v>
      </c>
      <c r="I727" s="813" t="s">
        <v>1325</v>
      </c>
      <c r="J727" s="813" t="s">
        <v>1326</v>
      </c>
      <c r="K727" s="813" t="s">
        <v>1323</v>
      </c>
      <c r="L727" s="813" t="s">
        <v>1327</v>
      </c>
      <c r="M727" s="813" t="s">
        <v>1328</v>
      </c>
      <c r="N727" s="813" t="s">
        <v>1329</v>
      </c>
      <c r="O727" s="1278" t="s">
        <v>1321</v>
      </c>
      <c r="P727" s="1149" t="s">
        <v>1330</v>
      </c>
    </row>
    <row r="728" spans="1:16" ht="24.75" customHeight="1">
      <c r="A728" s="1533">
        <v>0</v>
      </c>
      <c r="B728" s="1534"/>
      <c r="C728" s="1534"/>
      <c r="D728" s="409">
        <v>1</v>
      </c>
      <c r="E728" s="681">
        <v>2</v>
      </c>
      <c r="F728" s="410">
        <v>3</v>
      </c>
      <c r="G728" s="1150">
        <v>4</v>
      </c>
      <c r="H728" s="1150">
        <v>5</v>
      </c>
      <c r="I728" s="1150">
        <v>6</v>
      </c>
      <c r="J728" s="1150">
        <v>7</v>
      </c>
      <c r="K728" s="1150">
        <v>8</v>
      </c>
      <c r="L728" s="1150">
        <v>9</v>
      </c>
      <c r="M728" s="1150">
        <v>10</v>
      </c>
      <c r="N728" s="1150">
        <v>11</v>
      </c>
      <c r="O728" s="1150">
        <v>12</v>
      </c>
      <c r="P728" s="1151">
        <v>13</v>
      </c>
    </row>
    <row r="729" spans="1:16" ht="43.5" customHeight="1">
      <c r="A729" s="483" t="s">
        <v>401</v>
      </c>
      <c r="B729" s="484"/>
      <c r="C729" s="484"/>
      <c r="D729" s="413"/>
      <c r="E729" s="763"/>
      <c r="F729" s="566" t="s">
        <v>21</v>
      </c>
      <c r="G729" s="415"/>
      <c r="H729" s="415"/>
      <c r="I729" s="415"/>
      <c r="J729" s="415"/>
      <c r="K729" s="415"/>
      <c r="L729" s="415"/>
      <c r="M729" s="415"/>
      <c r="N729" s="415"/>
      <c r="O729" s="415"/>
      <c r="P729" s="1152"/>
    </row>
    <row r="730" spans="1:16" ht="23.25" customHeight="1">
      <c r="A730" s="488" t="s">
        <v>401</v>
      </c>
      <c r="B730" s="489" t="s">
        <v>390</v>
      </c>
      <c r="C730" s="489"/>
      <c r="D730" s="420"/>
      <c r="E730" s="600"/>
      <c r="F730" s="492" t="s">
        <v>22</v>
      </c>
      <c r="G730" s="422"/>
      <c r="H730" s="422"/>
      <c r="I730" s="422"/>
      <c r="J730" s="422"/>
      <c r="K730" s="422"/>
      <c r="L730" s="422"/>
      <c r="M730" s="422"/>
      <c r="N730" s="422"/>
      <c r="O730" s="422"/>
      <c r="P730" s="1153"/>
    </row>
    <row r="731" spans="1:16" ht="36.75" customHeight="1">
      <c r="A731" s="424"/>
      <c r="B731" s="425"/>
      <c r="C731" s="425"/>
      <c r="D731" s="420"/>
      <c r="E731" s="426">
        <v>610000</v>
      </c>
      <c r="F731" s="534" t="s">
        <v>529</v>
      </c>
      <c r="G731" s="422"/>
      <c r="H731" s="422"/>
      <c r="I731" s="422"/>
      <c r="J731" s="422"/>
      <c r="K731" s="422"/>
      <c r="L731" s="422"/>
      <c r="M731" s="422"/>
      <c r="N731" s="422"/>
      <c r="O731" s="422"/>
      <c r="P731" s="1153"/>
    </row>
    <row r="732" spans="1:16" ht="47.25" customHeight="1">
      <c r="A732" s="625" t="s">
        <v>401</v>
      </c>
      <c r="B732" s="595" t="s">
        <v>390</v>
      </c>
      <c r="C732" s="691" t="s">
        <v>391</v>
      </c>
      <c r="D732" s="889">
        <v>221</v>
      </c>
      <c r="E732" s="692">
        <v>611100</v>
      </c>
      <c r="F732" s="626" t="s">
        <v>962</v>
      </c>
      <c r="G732" s="1154">
        <v>1937300</v>
      </c>
      <c r="H732" s="1154"/>
      <c r="I732" s="1154"/>
      <c r="J732" s="1154">
        <f aca="true" t="shared" si="142" ref="J732:J754">G732+H732-I732</f>
        <v>1937300</v>
      </c>
      <c r="K732" s="1154">
        <v>0</v>
      </c>
      <c r="L732" s="1154"/>
      <c r="M732" s="1154"/>
      <c r="N732" s="1154">
        <f aca="true" t="shared" si="143" ref="N732:N754">K732+L732-M732</f>
        <v>0</v>
      </c>
      <c r="O732" s="1154">
        <f aca="true" t="shared" si="144" ref="O732:O754">G732+K732</f>
        <v>1937300</v>
      </c>
      <c r="P732" s="1155">
        <f aca="true" t="shared" si="145" ref="P732:P754">J732+N732</f>
        <v>1937300</v>
      </c>
    </row>
    <row r="733" spans="1:16" ht="33.75" customHeight="1">
      <c r="A733" s="625" t="s">
        <v>401</v>
      </c>
      <c r="B733" s="595" t="s">
        <v>390</v>
      </c>
      <c r="C733" s="691" t="s">
        <v>391</v>
      </c>
      <c r="D733" s="889">
        <v>221</v>
      </c>
      <c r="E733" s="596">
        <v>611200</v>
      </c>
      <c r="F733" s="627" t="s">
        <v>514</v>
      </c>
      <c r="G733" s="1154">
        <v>444000</v>
      </c>
      <c r="H733" s="1154"/>
      <c r="I733" s="1154"/>
      <c r="J733" s="1154">
        <f t="shared" si="142"/>
        <v>444000</v>
      </c>
      <c r="K733" s="1154">
        <v>0</v>
      </c>
      <c r="L733" s="1154"/>
      <c r="M733" s="1154"/>
      <c r="N733" s="1154">
        <f t="shared" si="143"/>
        <v>0</v>
      </c>
      <c r="O733" s="1154">
        <f t="shared" si="144"/>
        <v>444000</v>
      </c>
      <c r="P733" s="1155">
        <f t="shared" si="145"/>
        <v>444000</v>
      </c>
    </row>
    <row r="734" spans="1:16" ht="33" customHeight="1">
      <c r="A734" s="625" t="s">
        <v>401</v>
      </c>
      <c r="B734" s="595" t="s">
        <v>390</v>
      </c>
      <c r="C734" s="691" t="s">
        <v>391</v>
      </c>
      <c r="D734" s="889">
        <v>221</v>
      </c>
      <c r="E734" s="464">
        <v>612000</v>
      </c>
      <c r="F734" s="627" t="s">
        <v>889</v>
      </c>
      <c r="G734" s="1154">
        <v>278000</v>
      </c>
      <c r="H734" s="1154"/>
      <c r="I734" s="1154"/>
      <c r="J734" s="1154">
        <f t="shared" si="142"/>
        <v>278000</v>
      </c>
      <c r="K734" s="1154">
        <v>0</v>
      </c>
      <c r="L734" s="1154"/>
      <c r="M734" s="1154"/>
      <c r="N734" s="1154">
        <f t="shared" si="143"/>
        <v>0</v>
      </c>
      <c r="O734" s="1154">
        <f t="shared" si="144"/>
        <v>278000</v>
      </c>
      <c r="P734" s="1155">
        <f t="shared" si="145"/>
        <v>278000</v>
      </c>
    </row>
    <row r="735" spans="1:16" ht="34.5" customHeight="1">
      <c r="A735" s="625" t="s">
        <v>401</v>
      </c>
      <c r="B735" s="595" t="s">
        <v>390</v>
      </c>
      <c r="C735" s="691" t="s">
        <v>391</v>
      </c>
      <c r="D735" s="889">
        <v>221</v>
      </c>
      <c r="E735" s="752">
        <v>613100</v>
      </c>
      <c r="F735" s="714" t="s">
        <v>515</v>
      </c>
      <c r="G735" s="1154">
        <v>2000</v>
      </c>
      <c r="H735" s="1154"/>
      <c r="I735" s="1154"/>
      <c r="J735" s="1154">
        <f t="shared" si="142"/>
        <v>2000</v>
      </c>
      <c r="K735" s="1154">
        <v>1952.99</v>
      </c>
      <c r="L735" s="1154"/>
      <c r="M735" s="1154"/>
      <c r="N735" s="1154">
        <f t="shared" si="143"/>
        <v>1952.99</v>
      </c>
      <c r="O735" s="1154">
        <f t="shared" si="144"/>
        <v>3952.99</v>
      </c>
      <c r="P735" s="1155">
        <f t="shared" si="145"/>
        <v>3952.99</v>
      </c>
    </row>
    <row r="736" spans="1:16" ht="31.5" customHeight="1">
      <c r="A736" s="625" t="s">
        <v>401</v>
      </c>
      <c r="B736" s="595" t="s">
        <v>390</v>
      </c>
      <c r="C736" s="691" t="s">
        <v>391</v>
      </c>
      <c r="D736" s="921">
        <v>321</v>
      </c>
      <c r="E736" s="752">
        <v>613210</v>
      </c>
      <c r="F736" s="714" t="s">
        <v>624</v>
      </c>
      <c r="G736" s="1154">
        <v>36000</v>
      </c>
      <c r="H736" s="1154"/>
      <c r="I736" s="1154"/>
      <c r="J736" s="1154">
        <f t="shared" si="142"/>
        <v>36000</v>
      </c>
      <c r="K736" s="1154">
        <v>0</v>
      </c>
      <c r="L736" s="1154"/>
      <c r="M736" s="1154"/>
      <c r="N736" s="1154">
        <f t="shared" si="143"/>
        <v>0</v>
      </c>
      <c r="O736" s="1154">
        <f t="shared" si="144"/>
        <v>36000</v>
      </c>
      <c r="P736" s="1155">
        <f t="shared" si="145"/>
        <v>36000</v>
      </c>
    </row>
    <row r="737" spans="1:16" ht="32.25" customHeight="1">
      <c r="A737" s="625" t="s">
        <v>401</v>
      </c>
      <c r="B737" s="595" t="s">
        <v>390</v>
      </c>
      <c r="C737" s="691" t="s">
        <v>391</v>
      </c>
      <c r="D737" s="889">
        <v>221</v>
      </c>
      <c r="E737" s="692">
        <v>613310</v>
      </c>
      <c r="F737" s="762" t="s">
        <v>616</v>
      </c>
      <c r="G737" s="1154">
        <v>11000</v>
      </c>
      <c r="H737" s="1154"/>
      <c r="I737" s="1154"/>
      <c r="J737" s="1154">
        <f t="shared" si="142"/>
        <v>11000</v>
      </c>
      <c r="K737" s="1154">
        <v>0</v>
      </c>
      <c r="L737" s="1154"/>
      <c r="M737" s="1154"/>
      <c r="N737" s="1154">
        <f t="shared" si="143"/>
        <v>0</v>
      </c>
      <c r="O737" s="1154">
        <f t="shared" si="144"/>
        <v>11000</v>
      </c>
      <c r="P737" s="1155">
        <f t="shared" si="145"/>
        <v>11000</v>
      </c>
    </row>
    <row r="738" spans="1:16" ht="30" customHeight="1">
      <c r="A738" s="625" t="s">
        <v>401</v>
      </c>
      <c r="B738" s="595" t="s">
        <v>390</v>
      </c>
      <c r="C738" s="691" t="s">
        <v>391</v>
      </c>
      <c r="D738" s="889">
        <v>221</v>
      </c>
      <c r="E738" s="752">
        <v>613320</v>
      </c>
      <c r="F738" s="714" t="s">
        <v>500</v>
      </c>
      <c r="G738" s="1154">
        <v>10000</v>
      </c>
      <c r="H738" s="1154"/>
      <c r="I738" s="1154"/>
      <c r="J738" s="1154">
        <f t="shared" si="142"/>
        <v>10000</v>
      </c>
      <c r="K738" s="1154">
        <v>0</v>
      </c>
      <c r="L738" s="1154"/>
      <c r="M738" s="1154"/>
      <c r="N738" s="1154">
        <f t="shared" si="143"/>
        <v>0</v>
      </c>
      <c r="O738" s="1154">
        <f t="shared" si="144"/>
        <v>10000</v>
      </c>
      <c r="P738" s="1155">
        <f t="shared" si="145"/>
        <v>10000</v>
      </c>
    </row>
    <row r="739" spans="1:16" ht="34.5" customHeight="1">
      <c r="A739" s="625" t="s">
        <v>401</v>
      </c>
      <c r="B739" s="595" t="s">
        <v>390</v>
      </c>
      <c r="C739" s="691" t="s">
        <v>391</v>
      </c>
      <c r="D739" s="889">
        <v>221</v>
      </c>
      <c r="E739" s="930">
        <v>613400</v>
      </c>
      <c r="F739" s="714" t="s">
        <v>501</v>
      </c>
      <c r="G739" s="1154">
        <v>9000</v>
      </c>
      <c r="H739" s="1154"/>
      <c r="I739" s="1154"/>
      <c r="J739" s="1154">
        <f t="shared" si="142"/>
        <v>9000</v>
      </c>
      <c r="K739" s="1154">
        <v>4947.93</v>
      </c>
      <c r="L739" s="1154"/>
      <c r="M739" s="1154"/>
      <c r="N739" s="1154">
        <f t="shared" si="143"/>
        <v>4947.93</v>
      </c>
      <c r="O739" s="1154">
        <f t="shared" si="144"/>
        <v>13947.93</v>
      </c>
      <c r="P739" s="1155">
        <f t="shared" si="145"/>
        <v>13947.93</v>
      </c>
    </row>
    <row r="740" spans="1:16" ht="34.5" customHeight="1">
      <c r="A740" s="625" t="s">
        <v>401</v>
      </c>
      <c r="B740" s="595" t="s">
        <v>390</v>
      </c>
      <c r="C740" s="691" t="s">
        <v>391</v>
      </c>
      <c r="D740" s="921">
        <v>321</v>
      </c>
      <c r="E740" s="930">
        <v>613500</v>
      </c>
      <c r="F740" s="714" t="s">
        <v>661</v>
      </c>
      <c r="G740" s="1154">
        <v>18000</v>
      </c>
      <c r="H740" s="1154"/>
      <c r="I740" s="1154"/>
      <c r="J740" s="1154">
        <f t="shared" si="142"/>
        <v>18000</v>
      </c>
      <c r="K740" s="1154">
        <v>2800</v>
      </c>
      <c r="L740" s="1154"/>
      <c r="M740" s="1154"/>
      <c r="N740" s="1154">
        <f t="shared" si="143"/>
        <v>2800</v>
      </c>
      <c r="O740" s="1154">
        <f t="shared" si="144"/>
        <v>20800</v>
      </c>
      <c r="P740" s="1155">
        <f t="shared" si="145"/>
        <v>20800</v>
      </c>
    </row>
    <row r="741" spans="1:16" ht="34.5" customHeight="1">
      <c r="A741" s="625" t="s">
        <v>401</v>
      </c>
      <c r="B741" s="595" t="s">
        <v>390</v>
      </c>
      <c r="C741" s="691" t="s">
        <v>391</v>
      </c>
      <c r="D741" s="889">
        <v>221</v>
      </c>
      <c r="E741" s="930">
        <v>613720</v>
      </c>
      <c r="F741" s="714" t="s">
        <v>530</v>
      </c>
      <c r="G741" s="1154">
        <v>9276</v>
      </c>
      <c r="H741" s="1154"/>
      <c r="I741" s="1154"/>
      <c r="J741" s="1154">
        <f t="shared" si="142"/>
        <v>9276</v>
      </c>
      <c r="K741" s="1154">
        <v>0</v>
      </c>
      <c r="L741" s="1154"/>
      <c r="M741" s="1154"/>
      <c r="N741" s="1154">
        <f t="shared" si="143"/>
        <v>0</v>
      </c>
      <c r="O741" s="1154">
        <f t="shared" si="144"/>
        <v>9276</v>
      </c>
      <c r="P741" s="1155">
        <f t="shared" si="145"/>
        <v>9276</v>
      </c>
    </row>
    <row r="742" spans="1:16" ht="55.5" customHeight="1">
      <c r="A742" s="570" t="s">
        <v>401</v>
      </c>
      <c r="B742" s="571" t="s">
        <v>390</v>
      </c>
      <c r="C742" s="572" t="s">
        <v>391</v>
      </c>
      <c r="D742" s="904">
        <v>661</v>
      </c>
      <c r="E742" s="890" t="s">
        <v>946</v>
      </c>
      <c r="F742" s="569" t="s">
        <v>947</v>
      </c>
      <c r="G742" s="1156">
        <v>30000</v>
      </c>
      <c r="H742" s="1281"/>
      <c r="I742" s="1281"/>
      <c r="J742" s="1281">
        <f t="shared" si="142"/>
        <v>30000</v>
      </c>
      <c r="K742" s="1281">
        <v>0</v>
      </c>
      <c r="L742" s="1281"/>
      <c r="M742" s="1281"/>
      <c r="N742" s="1281">
        <f t="shared" si="143"/>
        <v>0</v>
      </c>
      <c r="O742" s="1281">
        <f t="shared" si="144"/>
        <v>30000</v>
      </c>
      <c r="P742" s="1282">
        <f t="shared" si="145"/>
        <v>30000</v>
      </c>
    </row>
    <row r="743" spans="1:16" ht="55.5" customHeight="1">
      <c r="A743" s="1297" t="s">
        <v>401</v>
      </c>
      <c r="B743" s="1298" t="s">
        <v>390</v>
      </c>
      <c r="C743" s="1299" t="s">
        <v>391</v>
      </c>
      <c r="D743" s="1300">
        <v>251</v>
      </c>
      <c r="E743" s="1301" t="s">
        <v>488</v>
      </c>
      <c r="F743" s="1302" t="s">
        <v>1390</v>
      </c>
      <c r="G743" s="1303">
        <v>0</v>
      </c>
      <c r="H743" s="1303">
        <v>30000</v>
      </c>
      <c r="I743" s="1303"/>
      <c r="J743" s="1303">
        <f t="shared" si="142"/>
        <v>30000</v>
      </c>
      <c r="K743" s="1303">
        <v>0</v>
      </c>
      <c r="L743" s="1303"/>
      <c r="M743" s="1303"/>
      <c r="N743" s="1303">
        <f t="shared" si="143"/>
        <v>0</v>
      </c>
      <c r="O743" s="1303">
        <f t="shared" si="144"/>
        <v>0</v>
      </c>
      <c r="P743" s="1304">
        <f t="shared" si="145"/>
        <v>30000</v>
      </c>
    </row>
    <row r="744" spans="1:16" ht="33" customHeight="1">
      <c r="A744" s="625" t="s">
        <v>401</v>
      </c>
      <c r="B744" s="595" t="s">
        <v>390</v>
      </c>
      <c r="C744" s="691" t="s">
        <v>391</v>
      </c>
      <c r="D744" s="889">
        <v>221</v>
      </c>
      <c r="E744" s="930">
        <v>613910</v>
      </c>
      <c r="F744" s="714" t="s">
        <v>502</v>
      </c>
      <c r="G744" s="1154">
        <v>10000</v>
      </c>
      <c r="H744" s="1154"/>
      <c r="I744" s="1154"/>
      <c r="J744" s="1154">
        <f t="shared" si="142"/>
        <v>10000</v>
      </c>
      <c r="K744" s="1154">
        <v>13006.26</v>
      </c>
      <c r="L744" s="1154"/>
      <c r="M744" s="1154"/>
      <c r="N744" s="1154">
        <f t="shared" si="143"/>
        <v>13006.26</v>
      </c>
      <c r="O744" s="1154">
        <f t="shared" si="144"/>
        <v>23006.260000000002</v>
      </c>
      <c r="P744" s="1155">
        <f t="shared" si="145"/>
        <v>23006.260000000002</v>
      </c>
    </row>
    <row r="745" spans="1:16" ht="36" customHeight="1">
      <c r="A745" s="625" t="s">
        <v>401</v>
      </c>
      <c r="B745" s="595" t="s">
        <v>390</v>
      </c>
      <c r="C745" s="691" t="s">
        <v>391</v>
      </c>
      <c r="D745" s="889">
        <v>221</v>
      </c>
      <c r="E745" s="910" t="s">
        <v>621</v>
      </c>
      <c r="F745" s="753" t="s">
        <v>517</v>
      </c>
      <c r="G745" s="1154">
        <v>65000</v>
      </c>
      <c r="H745" s="1154"/>
      <c r="I745" s="1154"/>
      <c r="J745" s="1154">
        <f t="shared" si="142"/>
        <v>65000</v>
      </c>
      <c r="K745" s="1154">
        <v>34665.61</v>
      </c>
      <c r="L745" s="1154"/>
      <c r="M745" s="1154"/>
      <c r="N745" s="1154">
        <f t="shared" si="143"/>
        <v>34665.61</v>
      </c>
      <c r="O745" s="1154">
        <f t="shared" si="144"/>
        <v>99665.61</v>
      </c>
      <c r="P745" s="1155">
        <f t="shared" si="145"/>
        <v>99665.61</v>
      </c>
    </row>
    <row r="746" spans="1:16" ht="34.5" customHeight="1">
      <c r="A746" s="625" t="s">
        <v>401</v>
      </c>
      <c r="B746" s="595" t="s">
        <v>390</v>
      </c>
      <c r="C746" s="691" t="s">
        <v>391</v>
      </c>
      <c r="D746" s="889">
        <v>221</v>
      </c>
      <c r="E746" s="910">
        <v>613997</v>
      </c>
      <c r="F746" s="911" t="s">
        <v>189</v>
      </c>
      <c r="G746" s="1154">
        <v>1500</v>
      </c>
      <c r="H746" s="1154"/>
      <c r="I746" s="1154"/>
      <c r="J746" s="1154">
        <f t="shared" si="142"/>
        <v>1500</v>
      </c>
      <c r="K746" s="1154">
        <v>0</v>
      </c>
      <c r="L746" s="1154"/>
      <c r="M746" s="1154"/>
      <c r="N746" s="1154">
        <f t="shared" si="143"/>
        <v>0</v>
      </c>
      <c r="O746" s="1154">
        <f t="shared" si="144"/>
        <v>1500</v>
      </c>
      <c r="P746" s="1155">
        <f t="shared" si="145"/>
        <v>1500</v>
      </c>
    </row>
    <row r="747" spans="1:16" ht="34.5" customHeight="1">
      <c r="A747" s="625" t="s">
        <v>401</v>
      </c>
      <c r="B747" s="595" t="s">
        <v>390</v>
      </c>
      <c r="C747" s="691" t="s">
        <v>391</v>
      </c>
      <c r="D747" s="889">
        <v>221</v>
      </c>
      <c r="E747" s="930" t="s">
        <v>67</v>
      </c>
      <c r="F747" s="714" t="s">
        <v>66</v>
      </c>
      <c r="G747" s="1154">
        <v>5000</v>
      </c>
      <c r="H747" s="1154"/>
      <c r="I747" s="1154"/>
      <c r="J747" s="1154">
        <f t="shared" si="142"/>
        <v>5000</v>
      </c>
      <c r="K747" s="1154">
        <v>0</v>
      </c>
      <c r="L747" s="1154"/>
      <c r="M747" s="1154"/>
      <c r="N747" s="1154">
        <f t="shared" si="143"/>
        <v>0</v>
      </c>
      <c r="O747" s="1154">
        <f t="shared" si="144"/>
        <v>5000</v>
      </c>
      <c r="P747" s="1155">
        <f t="shared" si="145"/>
        <v>5000</v>
      </c>
    </row>
    <row r="748" spans="1:16" ht="58.5" customHeight="1">
      <c r="A748" s="1297" t="s">
        <v>401</v>
      </c>
      <c r="B748" s="1298" t="s">
        <v>390</v>
      </c>
      <c r="C748" s="1299" t="s">
        <v>391</v>
      </c>
      <c r="D748" s="1300">
        <v>251</v>
      </c>
      <c r="E748" s="1305" t="s">
        <v>950</v>
      </c>
      <c r="F748" s="1302" t="s">
        <v>951</v>
      </c>
      <c r="G748" s="1303">
        <v>30000</v>
      </c>
      <c r="H748" s="1303"/>
      <c r="I748" s="1303">
        <v>30000</v>
      </c>
      <c r="J748" s="1303">
        <f t="shared" si="142"/>
        <v>0</v>
      </c>
      <c r="K748" s="1303">
        <v>0</v>
      </c>
      <c r="L748" s="1303"/>
      <c r="M748" s="1303"/>
      <c r="N748" s="1303">
        <f t="shared" si="143"/>
        <v>0</v>
      </c>
      <c r="O748" s="1303">
        <f t="shared" si="144"/>
        <v>30000</v>
      </c>
      <c r="P748" s="1304">
        <f t="shared" si="145"/>
        <v>0</v>
      </c>
    </row>
    <row r="749" spans="1:16" ht="51" customHeight="1">
      <c r="A749" s="570" t="s">
        <v>401</v>
      </c>
      <c r="B749" s="571" t="s">
        <v>390</v>
      </c>
      <c r="C749" s="572" t="s">
        <v>391</v>
      </c>
      <c r="D749" s="916">
        <v>321</v>
      </c>
      <c r="E749" s="933" t="s">
        <v>683</v>
      </c>
      <c r="F749" s="507" t="s">
        <v>602</v>
      </c>
      <c r="G749" s="1156">
        <v>16000</v>
      </c>
      <c r="H749" s="1156"/>
      <c r="I749" s="1156"/>
      <c r="J749" s="1156">
        <f t="shared" si="142"/>
        <v>16000</v>
      </c>
      <c r="K749" s="1156">
        <v>0</v>
      </c>
      <c r="L749" s="1156"/>
      <c r="M749" s="1156"/>
      <c r="N749" s="1156">
        <f t="shared" si="143"/>
        <v>0</v>
      </c>
      <c r="O749" s="1156">
        <f t="shared" si="144"/>
        <v>16000</v>
      </c>
      <c r="P749" s="1157">
        <f t="shared" si="145"/>
        <v>16000</v>
      </c>
    </row>
    <row r="750" spans="1:16" ht="51" customHeight="1">
      <c r="A750" s="570" t="s">
        <v>401</v>
      </c>
      <c r="B750" s="571" t="s">
        <v>390</v>
      </c>
      <c r="C750" s="572" t="s">
        <v>391</v>
      </c>
      <c r="D750" s="904">
        <v>221</v>
      </c>
      <c r="E750" s="917" t="s">
        <v>287</v>
      </c>
      <c r="F750" s="569" t="s">
        <v>254</v>
      </c>
      <c r="G750" s="1156">
        <v>15000</v>
      </c>
      <c r="H750" s="1156"/>
      <c r="I750" s="1156"/>
      <c r="J750" s="1156">
        <f t="shared" si="142"/>
        <v>15000</v>
      </c>
      <c r="K750" s="1156">
        <v>0</v>
      </c>
      <c r="L750" s="1156"/>
      <c r="M750" s="1156"/>
      <c r="N750" s="1156">
        <f t="shared" si="143"/>
        <v>0</v>
      </c>
      <c r="O750" s="1156">
        <f t="shared" si="144"/>
        <v>15000</v>
      </c>
      <c r="P750" s="1157">
        <f t="shared" si="145"/>
        <v>15000</v>
      </c>
    </row>
    <row r="751" spans="1:16" ht="51" customHeight="1">
      <c r="A751" s="570" t="s">
        <v>401</v>
      </c>
      <c r="B751" s="571" t="s">
        <v>390</v>
      </c>
      <c r="C751" s="572" t="s">
        <v>391</v>
      </c>
      <c r="D751" s="904">
        <v>761</v>
      </c>
      <c r="E751" s="933" t="s">
        <v>918</v>
      </c>
      <c r="F751" s="507" t="s">
        <v>989</v>
      </c>
      <c r="G751" s="1156">
        <v>30000</v>
      </c>
      <c r="H751" s="1156"/>
      <c r="I751" s="1156"/>
      <c r="J751" s="1156">
        <f t="shared" si="142"/>
        <v>30000</v>
      </c>
      <c r="K751" s="1156">
        <v>0</v>
      </c>
      <c r="L751" s="1156"/>
      <c r="M751" s="1156"/>
      <c r="N751" s="1156">
        <f t="shared" si="143"/>
        <v>0</v>
      </c>
      <c r="O751" s="1156">
        <f t="shared" si="144"/>
        <v>30000</v>
      </c>
      <c r="P751" s="1157">
        <f t="shared" si="145"/>
        <v>30000</v>
      </c>
    </row>
    <row r="752" spans="1:16" ht="51" customHeight="1">
      <c r="A752" s="570" t="s">
        <v>401</v>
      </c>
      <c r="B752" s="571" t="s">
        <v>390</v>
      </c>
      <c r="C752" s="572" t="s">
        <v>391</v>
      </c>
      <c r="D752" s="904">
        <v>251</v>
      </c>
      <c r="E752" s="890" t="s">
        <v>300</v>
      </c>
      <c r="F752" s="569" t="s">
        <v>969</v>
      </c>
      <c r="G752" s="1156">
        <v>5000</v>
      </c>
      <c r="H752" s="1156"/>
      <c r="I752" s="1156"/>
      <c r="J752" s="1156">
        <f t="shared" si="142"/>
        <v>5000</v>
      </c>
      <c r="K752" s="1156">
        <v>0</v>
      </c>
      <c r="L752" s="1156"/>
      <c r="M752" s="1156"/>
      <c r="N752" s="1156">
        <f t="shared" si="143"/>
        <v>0</v>
      </c>
      <c r="O752" s="1156">
        <f t="shared" si="144"/>
        <v>5000</v>
      </c>
      <c r="P752" s="1157">
        <f t="shared" si="145"/>
        <v>5000</v>
      </c>
    </row>
    <row r="753" spans="1:16" ht="51" customHeight="1">
      <c r="A753" s="570" t="s">
        <v>401</v>
      </c>
      <c r="B753" s="571" t="s">
        <v>390</v>
      </c>
      <c r="C753" s="572" t="s">
        <v>391</v>
      </c>
      <c r="D753" s="904">
        <v>321</v>
      </c>
      <c r="E753" s="890" t="s">
        <v>1012</v>
      </c>
      <c r="F753" s="569" t="s">
        <v>1008</v>
      </c>
      <c r="G753" s="1156">
        <v>10000</v>
      </c>
      <c r="H753" s="1156"/>
      <c r="I753" s="1156"/>
      <c r="J753" s="1156">
        <f t="shared" si="142"/>
        <v>10000</v>
      </c>
      <c r="K753" s="1156">
        <v>0</v>
      </c>
      <c r="L753" s="1156"/>
      <c r="M753" s="1156"/>
      <c r="N753" s="1156">
        <f t="shared" si="143"/>
        <v>0</v>
      </c>
      <c r="O753" s="1156">
        <f t="shared" si="144"/>
        <v>10000</v>
      </c>
      <c r="P753" s="1157">
        <f t="shared" si="145"/>
        <v>10000</v>
      </c>
    </row>
    <row r="754" spans="1:16" ht="51" customHeight="1">
      <c r="A754" s="570" t="s">
        <v>401</v>
      </c>
      <c r="B754" s="571" t="s">
        <v>390</v>
      </c>
      <c r="C754" s="572" t="s">
        <v>391</v>
      </c>
      <c r="D754" s="916">
        <v>221</v>
      </c>
      <c r="E754" s="890" t="s">
        <v>778</v>
      </c>
      <c r="F754" s="569" t="s">
        <v>932</v>
      </c>
      <c r="G754" s="1156">
        <v>5000</v>
      </c>
      <c r="H754" s="1156"/>
      <c r="I754" s="1156"/>
      <c r="J754" s="1156">
        <f t="shared" si="142"/>
        <v>5000</v>
      </c>
      <c r="K754" s="1156">
        <v>0</v>
      </c>
      <c r="L754" s="1156"/>
      <c r="M754" s="1156"/>
      <c r="N754" s="1156">
        <f t="shared" si="143"/>
        <v>0</v>
      </c>
      <c r="O754" s="1156">
        <f t="shared" si="144"/>
        <v>5000</v>
      </c>
      <c r="P754" s="1157">
        <f t="shared" si="145"/>
        <v>5000</v>
      </c>
    </row>
    <row r="755" spans="1:16" ht="51.75" customHeight="1">
      <c r="A755" s="881"/>
      <c r="B755" s="882"/>
      <c r="C755" s="914"/>
      <c r="D755" s="915"/>
      <c r="E755" s="623">
        <v>820000</v>
      </c>
      <c r="F755" s="761" t="s">
        <v>654</v>
      </c>
      <c r="G755" s="1181"/>
      <c r="H755" s="1181"/>
      <c r="I755" s="1181"/>
      <c r="J755" s="1181"/>
      <c r="K755" s="1181"/>
      <c r="L755" s="1181"/>
      <c r="M755" s="1181"/>
      <c r="N755" s="1181"/>
      <c r="O755" s="1181"/>
      <c r="P755" s="1203"/>
    </row>
    <row r="756" spans="1:16" ht="68.25" customHeight="1">
      <c r="A756" s="1311" t="s">
        <v>401</v>
      </c>
      <c r="B756" s="1312" t="s">
        <v>390</v>
      </c>
      <c r="C756" s="1336" t="s">
        <v>391</v>
      </c>
      <c r="D756" s="1352">
        <v>321</v>
      </c>
      <c r="E756" s="1313">
        <v>821300</v>
      </c>
      <c r="F756" s="1362" t="s">
        <v>528</v>
      </c>
      <c r="G756" s="1315">
        <v>11287</v>
      </c>
      <c r="H756" s="1315"/>
      <c r="I756" s="1315">
        <v>7000</v>
      </c>
      <c r="J756" s="1315">
        <f>G756+H756-I756</f>
        <v>4287</v>
      </c>
      <c r="K756" s="1315">
        <v>6434.7</v>
      </c>
      <c r="L756" s="1315"/>
      <c r="M756" s="1315"/>
      <c r="N756" s="1315">
        <f>K756+L756-M756</f>
        <v>6434.7</v>
      </c>
      <c r="O756" s="1315">
        <f>G756+K756</f>
        <v>17721.7</v>
      </c>
      <c r="P756" s="1316">
        <f>J756+N756</f>
        <v>10721.7</v>
      </c>
    </row>
    <row r="757" spans="1:16" ht="33.75" customHeight="1">
      <c r="A757" s="1311" t="s">
        <v>401</v>
      </c>
      <c r="B757" s="1312" t="s">
        <v>390</v>
      </c>
      <c r="C757" s="1336" t="s">
        <v>391</v>
      </c>
      <c r="D757" s="1347">
        <v>321</v>
      </c>
      <c r="E757" s="1385" t="s">
        <v>1033</v>
      </c>
      <c r="F757" s="1441" t="s">
        <v>1024</v>
      </c>
      <c r="G757" s="1315">
        <v>17034.82</v>
      </c>
      <c r="H757" s="1315"/>
      <c r="I757" s="1315"/>
      <c r="J757" s="1315">
        <f>G757+H757-I757</f>
        <v>17034.82</v>
      </c>
      <c r="K757" s="1315">
        <v>7850</v>
      </c>
      <c r="L757" s="1315"/>
      <c r="M757" s="1315">
        <v>7850</v>
      </c>
      <c r="N757" s="1315">
        <f>K757+L757-M757</f>
        <v>0</v>
      </c>
      <c r="O757" s="1315">
        <f>G757+K757</f>
        <v>24884.82</v>
      </c>
      <c r="P757" s="1316">
        <f>J757+N757</f>
        <v>17034.82</v>
      </c>
    </row>
    <row r="758" spans="1:16" ht="39.75" customHeight="1" thickBot="1">
      <c r="A758" s="574"/>
      <c r="B758" s="575"/>
      <c r="C758" s="576"/>
      <c r="D758" s="453"/>
      <c r="E758" s="735"/>
      <c r="F758" s="515" t="s">
        <v>182</v>
      </c>
      <c r="G758" s="1160">
        <f aca="true" t="shared" si="146" ref="G758:P758">SUM(G732:G757)</f>
        <v>3005397.82</v>
      </c>
      <c r="H758" s="1160">
        <f t="shared" si="146"/>
        <v>30000</v>
      </c>
      <c r="I758" s="1160">
        <f t="shared" si="146"/>
        <v>37000</v>
      </c>
      <c r="J758" s="1160">
        <f t="shared" si="146"/>
        <v>2998397.82</v>
      </c>
      <c r="K758" s="1160">
        <f t="shared" si="146"/>
        <v>71657.48999999999</v>
      </c>
      <c r="L758" s="1160">
        <f t="shared" si="146"/>
        <v>0</v>
      </c>
      <c r="M758" s="1160">
        <f t="shared" si="146"/>
        <v>7850</v>
      </c>
      <c r="N758" s="1160">
        <f t="shared" si="146"/>
        <v>63807.49</v>
      </c>
      <c r="O758" s="1161">
        <f t="shared" si="146"/>
        <v>3077055.31</v>
      </c>
      <c r="P758" s="1162">
        <f t="shared" si="146"/>
        <v>3062205.31</v>
      </c>
    </row>
    <row r="759" spans="1:16" ht="39.75" customHeight="1">
      <c r="A759" s="442"/>
      <c r="B759" s="535"/>
      <c r="C759" s="536"/>
      <c r="D759" s="420"/>
      <c r="E759" s="737"/>
      <c r="F759" s="518" t="s">
        <v>1142</v>
      </c>
      <c r="G759" s="1175"/>
      <c r="H759" s="1175"/>
      <c r="I759" s="1175"/>
      <c r="J759" s="1175"/>
      <c r="K759" s="1175"/>
      <c r="L759" s="1175"/>
      <c r="M759" s="1175"/>
      <c r="N759" s="1175"/>
      <c r="O759" s="1176"/>
      <c r="P759" s="1176"/>
    </row>
    <row r="760" spans="1:16" ht="39.75" customHeight="1">
      <c r="A760" s="442"/>
      <c r="B760" s="535"/>
      <c r="C760" s="536"/>
      <c r="D760" s="420"/>
      <c r="E760" s="737"/>
      <c r="F760" s="473" t="s">
        <v>1076</v>
      </c>
      <c r="G760" s="1177"/>
      <c r="H760" s="1177"/>
      <c r="I760" s="1177"/>
      <c r="J760" s="1177"/>
      <c r="K760" s="1177"/>
      <c r="L760" s="1177"/>
      <c r="M760" s="1177"/>
      <c r="N760" s="1177"/>
      <c r="O760" s="1178">
        <v>90</v>
      </c>
      <c r="P760" s="1178"/>
    </row>
    <row r="761" spans="1:16" s="519" customFormat="1" ht="45.75" customHeight="1" thickBot="1">
      <c r="A761" s="764"/>
      <c r="B761" s="765"/>
      <c r="C761" s="766"/>
      <c r="D761" s="477"/>
      <c r="E761" s="738"/>
      <c r="F761" s="515" t="s">
        <v>834</v>
      </c>
      <c r="G761" s="1201"/>
      <c r="H761" s="1201"/>
      <c r="I761" s="1201"/>
      <c r="J761" s="1201"/>
      <c r="K761" s="1201"/>
      <c r="L761" s="1201"/>
      <c r="M761" s="1201"/>
      <c r="N761" s="1201"/>
      <c r="O761" s="1202">
        <v>99</v>
      </c>
      <c r="P761" s="1202"/>
    </row>
    <row r="762" spans="1:16" ht="273.75" customHeight="1">
      <c r="A762" s="401" t="s">
        <v>494</v>
      </c>
      <c r="B762" s="402" t="s">
        <v>495</v>
      </c>
      <c r="C762" s="403" t="s">
        <v>677</v>
      </c>
      <c r="D762" s="404" t="s">
        <v>497</v>
      </c>
      <c r="E762" s="404" t="s">
        <v>188</v>
      </c>
      <c r="F762" s="405" t="s">
        <v>496</v>
      </c>
      <c r="G762" s="813" t="s">
        <v>1322</v>
      </c>
      <c r="H762" s="813" t="s">
        <v>1324</v>
      </c>
      <c r="I762" s="813" t="s">
        <v>1325</v>
      </c>
      <c r="J762" s="813" t="s">
        <v>1326</v>
      </c>
      <c r="K762" s="813" t="s">
        <v>1323</v>
      </c>
      <c r="L762" s="813" t="s">
        <v>1327</v>
      </c>
      <c r="M762" s="813" t="s">
        <v>1328</v>
      </c>
      <c r="N762" s="813" t="s">
        <v>1329</v>
      </c>
      <c r="O762" s="1278" t="s">
        <v>1321</v>
      </c>
      <c r="P762" s="1149" t="s">
        <v>1330</v>
      </c>
    </row>
    <row r="763" spans="1:16" ht="24" customHeight="1">
      <c r="A763" s="1533">
        <v>0</v>
      </c>
      <c r="B763" s="1534"/>
      <c r="C763" s="1534"/>
      <c r="D763" s="409">
        <v>1</v>
      </c>
      <c r="E763" s="681">
        <v>2</v>
      </c>
      <c r="F763" s="410">
        <v>3</v>
      </c>
      <c r="G763" s="1150">
        <v>4</v>
      </c>
      <c r="H763" s="1150">
        <v>5</v>
      </c>
      <c r="I763" s="1150">
        <v>6</v>
      </c>
      <c r="J763" s="1150">
        <v>7</v>
      </c>
      <c r="K763" s="1150">
        <v>8</v>
      </c>
      <c r="L763" s="1150">
        <v>9</v>
      </c>
      <c r="M763" s="1150">
        <v>10</v>
      </c>
      <c r="N763" s="1150">
        <v>11</v>
      </c>
      <c r="O763" s="1150">
        <v>12</v>
      </c>
      <c r="P763" s="1151">
        <v>13</v>
      </c>
    </row>
    <row r="764" spans="1:16" ht="39" customHeight="1">
      <c r="A764" s="483" t="s">
        <v>401</v>
      </c>
      <c r="B764" s="484"/>
      <c r="C764" s="484"/>
      <c r="D764" s="413"/>
      <c r="E764" s="763"/>
      <c r="F764" s="566" t="s">
        <v>21</v>
      </c>
      <c r="G764" s="415"/>
      <c r="H764" s="415"/>
      <c r="I764" s="415"/>
      <c r="J764" s="415"/>
      <c r="K764" s="415"/>
      <c r="L764" s="415"/>
      <c r="M764" s="415"/>
      <c r="N764" s="415"/>
      <c r="O764" s="415"/>
      <c r="P764" s="1152"/>
    </row>
    <row r="765" spans="1:16" ht="39" customHeight="1">
      <c r="A765" s="488" t="s">
        <v>401</v>
      </c>
      <c r="B765" s="489" t="s">
        <v>392</v>
      </c>
      <c r="C765" s="489"/>
      <c r="D765" s="420"/>
      <c r="E765" s="600"/>
      <c r="F765" s="492" t="s">
        <v>1107</v>
      </c>
      <c r="G765" s="422"/>
      <c r="H765" s="422"/>
      <c r="I765" s="422"/>
      <c r="J765" s="422"/>
      <c r="K765" s="422"/>
      <c r="L765" s="422"/>
      <c r="M765" s="422"/>
      <c r="N765" s="422"/>
      <c r="O765" s="422"/>
      <c r="P765" s="1153"/>
    </row>
    <row r="766" spans="1:16" ht="39" customHeight="1">
      <c r="A766" s="424"/>
      <c r="B766" s="425"/>
      <c r="C766" s="425"/>
      <c r="D766" s="420"/>
      <c r="E766" s="426">
        <v>610000</v>
      </c>
      <c r="F766" s="534" t="s">
        <v>529</v>
      </c>
      <c r="G766" s="422"/>
      <c r="H766" s="422"/>
      <c r="I766" s="422"/>
      <c r="J766" s="422"/>
      <c r="K766" s="422"/>
      <c r="L766" s="422"/>
      <c r="M766" s="422"/>
      <c r="N766" s="422"/>
      <c r="O766" s="422"/>
      <c r="P766" s="1153"/>
    </row>
    <row r="767" spans="1:16" ht="51" customHeight="1">
      <c r="A767" s="625" t="s">
        <v>401</v>
      </c>
      <c r="B767" s="595" t="s">
        <v>392</v>
      </c>
      <c r="C767" s="691" t="s">
        <v>391</v>
      </c>
      <c r="D767" s="889">
        <v>251</v>
      </c>
      <c r="E767" s="692" t="s">
        <v>317</v>
      </c>
      <c r="F767" s="903" t="s">
        <v>746</v>
      </c>
      <c r="G767" s="1154">
        <v>50000</v>
      </c>
      <c r="H767" s="1154"/>
      <c r="I767" s="1154"/>
      <c r="J767" s="1154">
        <f>G767+H767-I767</f>
        <v>50000</v>
      </c>
      <c r="K767" s="1154">
        <v>0</v>
      </c>
      <c r="L767" s="1154"/>
      <c r="M767" s="1154"/>
      <c r="N767" s="1154">
        <f>K767+L767-M767</f>
        <v>0</v>
      </c>
      <c r="O767" s="1154">
        <f>G767+K767</f>
        <v>50000</v>
      </c>
      <c r="P767" s="1155">
        <f>J767+N767</f>
        <v>50000</v>
      </c>
    </row>
    <row r="768" spans="1:16" ht="48" customHeight="1">
      <c r="A768" s="546"/>
      <c r="B768" s="547"/>
      <c r="C768" s="547"/>
      <c r="D768" s="472"/>
      <c r="E768" s="767"/>
      <c r="F768" s="473" t="s">
        <v>697</v>
      </c>
      <c r="G768" s="1219">
        <f>SUM(G767)</f>
        <v>50000</v>
      </c>
      <c r="H768" s="1219">
        <f aca="true" t="shared" si="147" ref="H768:J769">SUM(H767)</f>
        <v>0</v>
      </c>
      <c r="I768" s="1219">
        <f t="shared" si="147"/>
        <v>0</v>
      </c>
      <c r="J768" s="1219">
        <f t="shared" si="147"/>
        <v>50000</v>
      </c>
      <c r="K768" s="1219">
        <f>SUM(K767)</f>
        <v>0</v>
      </c>
      <c r="L768" s="1219">
        <f aca="true" t="shared" si="148" ref="L768:N769">SUM(L767)</f>
        <v>0</v>
      </c>
      <c r="M768" s="1219">
        <f t="shared" si="148"/>
        <v>0</v>
      </c>
      <c r="N768" s="1219">
        <f t="shared" si="148"/>
        <v>0</v>
      </c>
      <c r="O768" s="1220">
        <f>SUM(O767)</f>
        <v>50000</v>
      </c>
      <c r="P768" s="1221">
        <f>SUM(P767)</f>
        <v>50000</v>
      </c>
    </row>
    <row r="769" spans="1:16" ht="46.5" customHeight="1" thickBot="1">
      <c r="A769" s="574"/>
      <c r="B769" s="575"/>
      <c r="C769" s="575"/>
      <c r="D769" s="453"/>
      <c r="E769" s="768"/>
      <c r="F769" s="515" t="s">
        <v>1103</v>
      </c>
      <c r="G769" s="1222">
        <f>SUM(G768)</f>
        <v>50000</v>
      </c>
      <c r="H769" s="1222">
        <f t="shared" si="147"/>
        <v>0</v>
      </c>
      <c r="I769" s="1222">
        <f t="shared" si="147"/>
        <v>0</v>
      </c>
      <c r="J769" s="1222">
        <f t="shared" si="147"/>
        <v>50000</v>
      </c>
      <c r="K769" s="1222">
        <f>SUM(K768)</f>
        <v>0</v>
      </c>
      <c r="L769" s="1222">
        <f t="shared" si="148"/>
        <v>0</v>
      </c>
      <c r="M769" s="1222">
        <f t="shared" si="148"/>
        <v>0</v>
      </c>
      <c r="N769" s="1222">
        <f t="shared" si="148"/>
        <v>0</v>
      </c>
      <c r="O769" s="1223">
        <f>SUM(O768)</f>
        <v>50000</v>
      </c>
      <c r="P769" s="1224">
        <f>SUM(P768)</f>
        <v>50000</v>
      </c>
    </row>
    <row r="770" spans="1:16" s="527" customFormat="1" ht="271.5" customHeight="1">
      <c r="A770" s="401" t="s">
        <v>494</v>
      </c>
      <c r="B770" s="402" t="s">
        <v>495</v>
      </c>
      <c r="C770" s="403" t="s">
        <v>677</v>
      </c>
      <c r="D770" s="404" t="s">
        <v>497</v>
      </c>
      <c r="E770" s="404" t="s">
        <v>188</v>
      </c>
      <c r="F770" s="405" t="s">
        <v>496</v>
      </c>
      <c r="G770" s="813" t="s">
        <v>1322</v>
      </c>
      <c r="H770" s="813" t="s">
        <v>1324</v>
      </c>
      <c r="I770" s="813" t="s">
        <v>1325</v>
      </c>
      <c r="J770" s="813" t="s">
        <v>1326</v>
      </c>
      <c r="K770" s="813" t="s">
        <v>1323</v>
      </c>
      <c r="L770" s="813" t="s">
        <v>1327</v>
      </c>
      <c r="M770" s="813" t="s">
        <v>1328</v>
      </c>
      <c r="N770" s="813" t="s">
        <v>1329</v>
      </c>
      <c r="O770" s="1278" t="s">
        <v>1321</v>
      </c>
      <c r="P770" s="1149" t="s">
        <v>1330</v>
      </c>
    </row>
    <row r="771" spans="1:16" ht="22.5" customHeight="1">
      <c r="A771" s="1533">
        <v>0</v>
      </c>
      <c r="B771" s="1534"/>
      <c r="C771" s="1534"/>
      <c r="D771" s="409">
        <v>1</v>
      </c>
      <c r="E771" s="409">
        <v>2</v>
      </c>
      <c r="F771" s="410">
        <v>3</v>
      </c>
      <c r="G771" s="1150">
        <v>4</v>
      </c>
      <c r="H771" s="1150">
        <v>5</v>
      </c>
      <c r="I771" s="1150">
        <v>6</v>
      </c>
      <c r="J771" s="1150">
        <v>7</v>
      </c>
      <c r="K771" s="1150">
        <v>8</v>
      </c>
      <c r="L771" s="1150">
        <v>9</v>
      </c>
      <c r="M771" s="1150">
        <v>10</v>
      </c>
      <c r="N771" s="1150">
        <v>11</v>
      </c>
      <c r="O771" s="1150">
        <v>12</v>
      </c>
      <c r="P771" s="1151">
        <v>13</v>
      </c>
    </row>
    <row r="772" spans="1:16" ht="58.5" customHeight="1">
      <c r="A772" s="483" t="s">
        <v>401</v>
      </c>
      <c r="B772" s="484"/>
      <c r="C772" s="484"/>
      <c r="D772" s="413"/>
      <c r="E772" s="676"/>
      <c r="F772" s="769" t="s">
        <v>21</v>
      </c>
      <c r="G772" s="415"/>
      <c r="H772" s="415"/>
      <c r="I772" s="415"/>
      <c r="J772" s="415"/>
      <c r="K772" s="415"/>
      <c r="L772" s="415"/>
      <c r="M772" s="415"/>
      <c r="N772" s="415"/>
      <c r="O772" s="415"/>
      <c r="P772" s="1152"/>
    </row>
    <row r="773" spans="1:16" ht="56.25" customHeight="1">
      <c r="A773" s="488" t="s">
        <v>401</v>
      </c>
      <c r="B773" s="489" t="s">
        <v>393</v>
      </c>
      <c r="C773" s="489"/>
      <c r="D773" s="420"/>
      <c r="E773" s="740"/>
      <c r="F773" s="492" t="s">
        <v>1121</v>
      </c>
      <c r="G773" s="422"/>
      <c r="H773" s="422"/>
      <c r="I773" s="422"/>
      <c r="J773" s="422"/>
      <c r="K773" s="422"/>
      <c r="L773" s="422"/>
      <c r="M773" s="422"/>
      <c r="N773" s="422"/>
      <c r="O773" s="422"/>
      <c r="P773" s="1153"/>
    </row>
    <row r="774" spans="1:16" ht="33" customHeight="1">
      <c r="A774" s="424"/>
      <c r="B774" s="425"/>
      <c r="C774" s="425"/>
      <c r="D774" s="420"/>
      <c r="E774" s="740"/>
      <c r="F774" s="770"/>
      <c r="G774" s="422"/>
      <c r="H774" s="422"/>
      <c r="I774" s="422"/>
      <c r="J774" s="422"/>
      <c r="K774" s="422"/>
      <c r="L774" s="422"/>
      <c r="M774" s="422"/>
      <c r="N774" s="422"/>
      <c r="O774" s="422"/>
      <c r="P774" s="1153"/>
    </row>
    <row r="775" spans="1:16" ht="44.25" customHeight="1">
      <c r="A775" s="424"/>
      <c r="B775" s="425"/>
      <c r="C775" s="425"/>
      <c r="D775" s="420"/>
      <c r="E775" s="426">
        <v>610000</v>
      </c>
      <c r="F775" s="771" t="s">
        <v>529</v>
      </c>
      <c r="G775" s="422"/>
      <c r="H775" s="422"/>
      <c r="I775" s="422"/>
      <c r="J775" s="422"/>
      <c r="K775" s="422"/>
      <c r="L775" s="422"/>
      <c r="M775" s="422"/>
      <c r="N775" s="422"/>
      <c r="O775" s="422"/>
      <c r="P775" s="1153"/>
    </row>
    <row r="776" spans="1:16" ht="44.25" customHeight="1">
      <c r="A776" s="625" t="s">
        <v>401</v>
      </c>
      <c r="B776" s="595" t="s">
        <v>393</v>
      </c>
      <c r="C776" s="691" t="s">
        <v>391</v>
      </c>
      <c r="D776" s="889">
        <v>251</v>
      </c>
      <c r="E776" s="883" t="s">
        <v>1385</v>
      </c>
      <c r="F776" s="1007" t="s">
        <v>1386</v>
      </c>
      <c r="G776" s="1255">
        <v>200000</v>
      </c>
      <c r="H776" s="1255"/>
      <c r="I776" s="1255"/>
      <c r="J776" s="1154">
        <f aca="true" t="shared" si="149" ref="J776:J789">G776+H776-I776</f>
        <v>200000</v>
      </c>
      <c r="K776" s="1225">
        <v>0</v>
      </c>
      <c r="L776" s="1225"/>
      <c r="M776" s="1225"/>
      <c r="N776" s="1154">
        <f>K776+L776-M776</f>
        <v>0</v>
      </c>
      <c r="O776" s="1154">
        <f>G776+K776</f>
        <v>200000</v>
      </c>
      <c r="P776" s="1155">
        <f>J776+N776</f>
        <v>200000</v>
      </c>
    </row>
    <row r="777" spans="1:16" ht="44.25" customHeight="1">
      <c r="A777" s="625" t="s">
        <v>401</v>
      </c>
      <c r="B777" s="595" t="s">
        <v>393</v>
      </c>
      <c r="C777" s="691" t="s">
        <v>391</v>
      </c>
      <c r="D777" s="889">
        <v>251</v>
      </c>
      <c r="E777" s="847">
        <v>613487</v>
      </c>
      <c r="F777" s="714" t="s">
        <v>119</v>
      </c>
      <c r="G777" s="1265">
        <v>270825.82</v>
      </c>
      <c r="H777" s="1265"/>
      <c r="I777" s="1292"/>
      <c r="J777" s="1182">
        <f t="shared" si="149"/>
        <v>270825.82</v>
      </c>
      <c r="K777" s="1225">
        <v>0</v>
      </c>
      <c r="L777" s="1225"/>
      <c r="M777" s="1225"/>
      <c r="N777" s="1154">
        <f>K777+L777-M777</f>
        <v>0</v>
      </c>
      <c r="O777" s="1154">
        <f>G777+K777</f>
        <v>270825.82</v>
      </c>
      <c r="P777" s="1155">
        <f>J777+N777</f>
        <v>270825.82</v>
      </c>
    </row>
    <row r="778" spans="1:16" ht="51" customHeight="1">
      <c r="A778" s="629" t="s">
        <v>401</v>
      </c>
      <c r="B778" s="630" t="s">
        <v>393</v>
      </c>
      <c r="C778" s="920" t="s">
        <v>391</v>
      </c>
      <c r="D778" s="921">
        <v>251</v>
      </c>
      <c r="E778" s="930" t="s">
        <v>488</v>
      </c>
      <c r="F778" s="714" t="s">
        <v>80</v>
      </c>
      <c r="G778" s="1182">
        <v>0</v>
      </c>
      <c r="H778" s="1182"/>
      <c r="I778" s="1182"/>
      <c r="J778" s="1182">
        <f t="shared" si="149"/>
        <v>0</v>
      </c>
      <c r="K778" s="1182">
        <v>0</v>
      </c>
      <c r="L778" s="1182"/>
      <c r="M778" s="1182"/>
      <c r="N778" s="1182">
        <f aca="true" t="shared" si="150" ref="N778:N789">K778+L778-M778</f>
        <v>0</v>
      </c>
      <c r="O778" s="1182">
        <f aca="true" t="shared" si="151" ref="O778:O789">G778+K778</f>
        <v>0</v>
      </c>
      <c r="P778" s="1289">
        <f aca="true" t="shared" si="152" ref="P778:P789">J778+N778</f>
        <v>0</v>
      </c>
    </row>
    <row r="779" spans="1:16" ht="57" customHeight="1" hidden="1">
      <c r="A779" s="629" t="s">
        <v>401</v>
      </c>
      <c r="B779" s="630" t="s">
        <v>393</v>
      </c>
      <c r="C779" s="920" t="s">
        <v>391</v>
      </c>
      <c r="D779" s="921">
        <v>251</v>
      </c>
      <c r="E779" s="930" t="s">
        <v>488</v>
      </c>
      <c r="F779" s="714" t="s">
        <v>3</v>
      </c>
      <c r="G779" s="1154"/>
      <c r="H779" s="1154"/>
      <c r="I779" s="1154"/>
      <c r="J779" s="1154">
        <f t="shared" si="149"/>
        <v>0</v>
      </c>
      <c r="K779" s="1154"/>
      <c r="L779" s="1154"/>
      <c r="M779" s="1154"/>
      <c r="N779" s="1154">
        <f t="shared" si="150"/>
        <v>0</v>
      </c>
      <c r="O779" s="1154">
        <f t="shared" si="151"/>
        <v>0</v>
      </c>
      <c r="P779" s="1155">
        <f t="shared" si="152"/>
        <v>0</v>
      </c>
    </row>
    <row r="780" spans="1:16" ht="69" customHeight="1">
      <c r="A780" s="886" t="s">
        <v>401</v>
      </c>
      <c r="B780" s="885" t="s">
        <v>393</v>
      </c>
      <c r="C780" s="934" t="s">
        <v>391</v>
      </c>
      <c r="D780" s="916">
        <v>251</v>
      </c>
      <c r="E780" s="890" t="s">
        <v>299</v>
      </c>
      <c r="F780" s="569" t="s">
        <v>1382</v>
      </c>
      <c r="G780" s="1156">
        <v>150000</v>
      </c>
      <c r="H780" s="1156"/>
      <c r="I780" s="1156"/>
      <c r="J780" s="1156">
        <f t="shared" si="149"/>
        <v>150000</v>
      </c>
      <c r="K780" s="1156">
        <v>115000</v>
      </c>
      <c r="L780" s="1156"/>
      <c r="M780" s="1156"/>
      <c r="N780" s="1156">
        <f t="shared" si="150"/>
        <v>115000</v>
      </c>
      <c r="O780" s="1156">
        <f t="shared" si="151"/>
        <v>265000</v>
      </c>
      <c r="P780" s="1157">
        <f t="shared" si="152"/>
        <v>265000</v>
      </c>
    </row>
    <row r="781" spans="1:16" ht="60" customHeight="1">
      <c r="A781" s="886" t="s">
        <v>401</v>
      </c>
      <c r="B781" s="885" t="s">
        <v>393</v>
      </c>
      <c r="C781" s="934" t="s">
        <v>391</v>
      </c>
      <c r="D781" s="916">
        <v>251</v>
      </c>
      <c r="E781" s="890" t="s">
        <v>1006</v>
      </c>
      <c r="F781" s="569" t="s">
        <v>1007</v>
      </c>
      <c r="G781" s="1156">
        <v>300000</v>
      </c>
      <c r="H781" s="1156"/>
      <c r="I781" s="1156"/>
      <c r="J781" s="1156">
        <f t="shared" si="149"/>
        <v>300000</v>
      </c>
      <c r="K781" s="1156">
        <v>0</v>
      </c>
      <c r="L781" s="1156"/>
      <c r="M781" s="1156"/>
      <c r="N781" s="1156">
        <f t="shared" si="150"/>
        <v>0</v>
      </c>
      <c r="O781" s="1156">
        <f t="shared" si="151"/>
        <v>300000</v>
      </c>
      <c r="P781" s="1157">
        <f t="shared" si="152"/>
        <v>300000</v>
      </c>
    </row>
    <row r="782" spans="1:16" ht="46.5" customHeight="1">
      <c r="A782" s="886" t="s">
        <v>401</v>
      </c>
      <c r="B782" s="885" t="s">
        <v>393</v>
      </c>
      <c r="C782" s="934" t="s">
        <v>391</v>
      </c>
      <c r="D782" s="916">
        <v>251</v>
      </c>
      <c r="E782" s="890" t="s">
        <v>621</v>
      </c>
      <c r="F782" s="569" t="s">
        <v>532</v>
      </c>
      <c r="G782" s="1156">
        <v>143498.08</v>
      </c>
      <c r="H782" s="1156"/>
      <c r="I782" s="1156"/>
      <c r="J782" s="1156">
        <f t="shared" si="149"/>
        <v>143498.08</v>
      </c>
      <c r="K782" s="1156"/>
      <c r="L782" s="1156"/>
      <c r="M782" s="1156"/>
      <c r="N782" s="1156">
        <f>K782+L782-M782</f>
        <v>0</v>
      </c>
      <c r="O782" s="1156">
        <f>G782+K782</f>
        <v>143498.08</v>
      </c>
      <c r="P782" s="1157">
        <f>J782+N782</f>
        <v>143498.08</v>
      </c>
    </row>
    <row r="783" spans="1:16" ht="45" customHeight="1">
      <c r="A783" s="629" t="s">
        <v>401</v>
      </c>
      <c r="B783" s="630" t="s">
        <v>393</v>
      </c>
      <c r="C783" s="920" t="s">
        <v>391</v>
      </c>
      <c r="D783" s="921">
        <v>251</v>
      </c>
      <c r="E783" s="930" t="s">
        <v>55</v>
      </c>
      <c r="F783" s="714" t="s">
        <v>53</v>
      </c>
      <c r="G783" s="1154">
        <v>0</v>
      </c>
      <c r="H783" s="1154"/>
      <c r="I783" s="1154"/>
      <c r="J783" s="1154">
        <f t="shared" si="149"/>
        <v>0</v>
      </c>
      <c r="K783" s="1154">
        <v>0</v>
      </c>
      <c r="L783" s="1154"/>
      <c r="M783" s="1154"/>
      <c r="N783" s="1154">
        <f t="shared" si="150"/>
        <v>0</v>
      </c>
      <c r="O783" s="1154">
        <f t="shared" si="151"/>
        <v>0</v>
      </c>
      <c r="P783" s="1155">
        <f t="shared" si="152"/>
        <v>0</v>
      </c>
    </row>
    <row r="784" spans="1:16" ht="44.25" customHeight="1">
      <c r="A784" s="629" t="s">
        <v>401</v>
      </c>
      <c r="B784" s="630" t="s">
        <v>393</v>
      </c>
      <c r="C784" s="630" t="s">
        <v>391</v>
      </c>
      <c r="D784" s="921">
        <v>251</v>
      </c>
      <c r="E784" s="930" t="s">
        <v>722</v>
      </c>
      <c r="F784" s="714" t="s">
        <v>0</v>
      </c>
      <c r="G784" s="1154">
        <v>138498.08</v>
      </c>
      <c r="H784" s="1154"/>
      <c r="I784" s="1154"/>
      <c r="J784" s="1154">
        <f t="shared" si="149"/>
        <v>138498.08</v>
      </c>
      <c r="K784" s="1154">
        <v>0</v>
      </c>
      <c r="L784" s="1154"/>
      <c r="M784" s="1154"/>
      <c r="N784" s="1154">
        <f t="shared" si="150"/>
        <v>0</v>
      </c>
      <c r="O784" s="1154">
        <f t="shared" si="151"/>
        <v>138498.08</v>
      </c>
      <c r="P784" s="1155">
        <f t="shared" si="152"/>
        <v>138498.08</v>
      </c>
    </row>
    <row r="785" spans="1:16" ht="50.25" customHeight="1">
      <c r="A785" s="886" t="s">
        <v>401</v>
      </c>
      <c r="B785" s="885" t="s">
        <v>393</v>
      </c>
      <c r="C785" s="885" t="s">
        <v>391</v>
      </c>
      <c r="D785" s="916">
        <v>251</v>
      </c>
      <c r="E785" s="890" t="s">
        <v>1</v>
      </c>
      <c r="F785" s="569" t="s">
        <v>2</v>
      </c>
      <c r="G785" s="1156">
        <v>313992.32</v>
      </c>
      <c r="H785" s="1156"/>
      <c r="I785" s="1156"/>
      <c r="J785" s="1156">
        <f t="shared" si="149"/>
        <v>313992.32</v>
      </c>
      <c r="K785" s="1156">
        <v>110000</v>
      </c>
      <c r="L785" s="1156"/>
      <c r="M785" s="1156"/>
      <c r="N785" s="1156">
        <f t="shared" si="150"/>
        <v>110000</v>
      </c>
      <c r="O785" s="1156">
        <f t="shared" si="151"/>
        <v>423992.32</v>
      </c>
      <c r="P785" s="1157">
        <f t="shared" si="152"/>
        <v>423992.32</v>
      </c>
    </row>
    <row r="786" spans="1:16" ht="42.75" customHeight="1">
      <c r="A786" s="629" t="s">
        <v>401</v>
      </c>
      <c r="B786" s="630" t="s">
        <v>393</v>
      </c>
      <c r="C786" s="630" t="s">
        <v>391</v>
      </c>
      <c r="D786" s="921">
        <v>251</v>
      </c>
      <c r="E786" s="930" t="s">
        <v>977</v>
      </c>
      <c r="F786" s="714" t="s">
        <v>978</v>
      </c>
      <c r="G786" s="1154">
        <v>15000</v>
      </c>
      <c r="H786" s="1154"/>
      <c r="I786" s="1154"/>
      <c r="J786" s="1154">
        <f t="shared" si="149"/>
        <v>15000</v>
      </c>
      <c r="K786" s="1154">
        <v>0</v>
      </c>
      <c r="L786" s="1154"/>
      <c r="M786" s="1154"/>
      <c r="N786" s="1154">
        <f t="shared" si="150"/>
        <v>0</v>
      </c>
      <c r="O786" s="1154">
        <f t="shared" si="151"/>
        <v>15000</v>
      </c>
      <c r="P786" s="1155">
        <f t="shared" si="152"/>
        <v>15000</v>
      </c>
    </row>
    <row r="787" spans="1:16" ht="42.75" customHeight="1">
      <c r="A787" s="629" t="s">
        <v>401</v>
      </c>
      <c r="B787" s="630" t="s">
        <v>393</v>
      </c>
      <c r="C787" s="630" t="s">
        <v>391</v>
      </c>
      <c r="D787" s="921">
        <v>251</v>
      </c>
      <c r="E787" s="930" t="s">
        <v>1383</v>
      </c>
      <c r="F787" s="714" t="s">
        <v>1384</v>
      </c>
      <c r="G787" s="1154">
        <v>300000</v>
      </c>
      <c r="H787" s="1154"/>
      <c r="I787" s="1154"/>
      <c r="J787" s="1154">
        <f t="shared" si="149"/>
        <v>300000</v>
      </c>
      <c r="K787" s="1154">
        <v>0</v>
      </c>
      <c r="L787" s="1154"/>
      <c r="M787" s="1154"/>
      <c r="N787" s="1154">
        <f t="shared" si="150"/>
        <v>0</v>
      </c>
      <c r="O787" s="1154">
        <f t="shared" si="151"/>
        <v>300000</v>
      </c>
      <c r="P787" s="1155">
        <f t="shared" si="152"/>
        <v>300000</v>
      </c>
    </row>
    <row r="788" spans="1:16" ht="59.25" customHeight="1">
      <c r="A788" s="886" t="s">
        <v>401</v>
      </c>
      <c r="B788" s="885" t="s">
        <v>393</v>
      </c>
      <c r="C788" s="885" t="s">
        <v>391</v>
      </c>
      <c r="D788" s="916">
        <v>251</v>
      </c>
      <c r="E788" s="505" t="s">
        <v>300</v>
      </c>
      <c r="F788" s="569" t="s">
        <v>995</v>
      </c>
      <c r="G788" s="1156">
        <v>0</v>
      </c>
      <c r="H788" s="1156"/>
      <c r="I788" s="1156"/>
      <c r="J788" s="1156">
        <f t="shared" si="149"/>
        <v>0</v>
      </c>
      <c r="K788" s="1156">
        <v>0</v>
      </c>
      <c r="L788" s="1156"/>
      <c r="M788" s="1156"/>
      <c r="N788" s="1156">
        <f t="shared" si="150"/>
        <v>0</v>
      </c>
      <c r="O788" s="1156">
        <f t="shared" si="151"/>
        <v>0</v>
      </c>
      <c r="P788" s="1157">
        <f t="shared" si="152"/>
        <v>0</v>
      </c>
    </row>
    <row r="789" spans="1:16" s="577" customFormat="1" ht="81" customHeight="1">
      <c r="A789" s="922" t="s">
        <v>401</v>
      </c>
      <c r="B789" s="923" t="s">
        <v>393</v>
      </c>
      <c r="C789" s="923" t="s">
        <v>391</v>
      </c>
      <c r="D789" s="916">
        <v>251</v>
      </c>
      <c r="E789" s="505" t="s">
        <v>289</v>
      </c>
      <c r="F789" s="569" t="s">
        <v>489</v>
      </c>
      <c r="G789" s="1156">
        <v>10000</v>
      </c>
      <c r="H789" s="1156"/>
      <c r="I789" s="1156"/>
      <c r="J789" s="1156">
        <f t="shared" si="149"/>
        <v>10000</v>
      </c>
      <c r="K789" s="1156">
        <v>0</v>
      </c>
      <c r="L789" s="1156"/>
      <c r="M789" s="1156"/>
      <c r="N789" s="1156">
        <f t="shared" si="150"/>
        <v>0</v>
      </c>
      <c r="O789" s="1156">
        <f t="shared" si="151"/>
        <v>10000</v>
      </c>
      <c r="P789" s="1157">
        <f t="shared" si="152"/>
        <v>10000</v>
      </c>
    </row>
    <row r="790" spans="1:16" ht="56.25" customHeight="1">
      <c r="A790" s="892"/>
      <c r="B790" s="938"/>
      <c r="C790" s="939"/>
      <c r="D790" s="935"/>
      <c r="E790" s="635">
        <v>820000</v>
      </c>
      <c r="F790" s="936" t="s">
        <v>698</v>
      </c>
      <c r="G790" s="1158"/>
      <c r="H790" s="1158"/>
      <c r="I790" s="1158"/>
      <c r="J790" s="1158"/>
      <c r="K790" s="1158"/>
      <c r="L790" s="1158"/>
      <c r="M790" s="1158"/>
      <c r="N790" s="1158"/>
      <c r="O790" s="1158"/>
      <c r="P790" s="1159"/>
    </row>
    <row r="791" spans="1:16" ht="72" customHeight="1">
      <c r="A791" s="570" t="s">
        <v>401</v>
      </c>
      <c r="B791" s="617" t="s">
        <v>393</v>
      </c>
      <c r="C791" s="1293" t="s">
        <v>391</v>
      </c>
      <c r="D791" s="946">
        <v>251</v>
      </c>
      <c r="E791" s="829">
        <v>821300</v>
      </c>
      <c r="F791" s="591" t="s">
        <v>915</v>
      </c>
      <c r="G791" s="1156">
        <v>1228147.3</v>
      </c>
      <c r="H791" s="1156"/>
      <c r="I791" s="1156"/>
      <c r="J791" s="1156">
        <f>G791+H791-I791</f>
        <v>1228147.3</v>
      </c>
      <c r="K791" s="1156">
        <v>0</v>
      </c>
      <c r="L791" s="1156"/>
      <c r="M791" s="1156"/>
      <c r="N791" s="1156">
        <f>K791+L791-M791</f>
        <v>0</v>
      </c>
      <c r="O791" s="1156">
        <f>G791+K791</f>
        <v>1228147.3</v>
      </c>
      <c r="P791" s="1157">
        <f>J791+N791</f>
        <v>1228147.3</v>
      </c>
    </row>
    <row r="792" spans="1:16" ht="51.75" customHeight="1" thickBot="1">
      <c r="A792" s="451"/>
      <c r="B792" s="452"/>
      <c r="C792" s="452"/>
      <c r="D792" s="453"/>
      <c r="E792" s="773"/>
      <c r="F792" s="515" t="s">
        <v>1139</v>
      </c>
      <c r="G792" s="1160">
        <f>SUM(G776:G791)</f>
        <v>3069961.6000000006</v>
      </c>
      <c r="H792" s="1160">
        <f aca="true" t="shared" si="153" ref="H792:P792">SUM(H776:H791)</f>
        <v>0</v>
      </c>
      <c r="I792" s="1160">
        <f t="shared" si="153"/>
        <v>0</v>
      </c>
      <c r="J792" s="1160">
        <f>SUM(J776:J791)</f>
        <v>3069961.6000000006</v>
      </c>
      <c r="K792" s="1160">
        <f t="shared" si="153"/>
        <v>225000</v>
      </c>
      <c r="L792" s="1160">
        <f t="shared" si="153"/>
        <v>0</v>
      </c>
      <c r="M792" s="1160">
        <f t="shared" si="153"/>
        <v>0</v>
      </c>
      <c r="N792" s="1160">
        <f t="shared" si="153"/>
        <v>225000</v>
      </c>
      <c r="O792" s="1160">
        <f t="shared" si="153"/>
        <v>3294961.6000000006</v>
      </c>
      <c r="P792" s="1160">
        <f t="shared" si="153"/>
        <v>3294961.6000000006</v>
      </c>
    </row>
    <row r="793" spans="1:16" s="577" customFormat="1" ht="269.25" customHeight="1">
      <c r="A793" s="401" t="s">
        <v>494</v>
      </c>
      <c r="B793" s="402" t="s">
        <v>495</v>
      </c>
      <c r="C793" s="403" t="s">
        <v>677</v>
      </c>
      <c r="D793" s="404" t="s">
        <v>497</v>
      </c>
      <c r="E793" s="404" t="s">
        <v>188</v>
      </c>
      <c r="F793" s="405" t="s">
        <v>496</v>
      </c>
      <c r="G793" s="813" t="s">
        <v>1322</v>
      </c>
      <c r="H793" s="813" t="s">
        <v>1324</v>
      </c>
      <c r="I793" s="813" t="s">
        <v>1325</v>
      </c>
      <c r="J793" s="813" t="s">
        <v>1326</v>
      </c>
      <c r="K793" s="813" t="s">
        <v>1323</v>
      </c>
      <c r="L793" s="813" t="s">
        <v>1327</v>
      </c>
      <c r="M793" s="813" t="s">
        <v>1328</v>
      </c>
      <c r="N793" s="813" t="s">
        <v>1329</v>
      </c>
      <c r="O793" s="1278" t="s">
        <v>1321</v>
      </c>
      <c r="P793" s="1149" t="s">
        <v>1330</v>
      </c>
    </row>
    <row r="794" spans="1:16" ht="25.5" customHeight="1">
      <c r="A794" s="1533">
        <v>0</v>
      </c>
      <c r="B794" s="1534"/>
      <c r="C794" s="1534"/>
      <c r="D794" s="409">
        <v>1</v>
      </c>
      <c r="E794" s="409">
        <v>2</v>
      </c>
      <c r="F794" s="410">
        <v>3</v>
      </c>
      <c r="G794" s="1150">
        <v>4</v>
      </c>
      <c r="H794" s="1150">
        <v>5</v>
      </c>
      <c r="I794" s="1150">
        <v>6</v>
      </c>
      <c r="J794" s="1150">
        <v>7</v>
      </c>
      <c r="K794" s="1150">
        <v>8</v>
      </c>
      <c r="L794" s="1150">
        <v>9</v>
      </c>
      <c r="M794" s="1150">
        <v>10</v>
      </c>
      <c r="N794" s="1150">
        <v>11</v>
      </c>
      <c r="O794" s="1150">
        <v>12</v>
      </c>
      <c r="P794" s="1151">
        <v>13</v>
      </c>
    </row>
    <row r="795" spans="1:16" ht="71.25" customHeight="1">
      <c r="A795" s="824" t="s">
        <v>401</v>
      </c>
      <c r="B795" s="484"/>
      <c r="C795" s="484"/>
      <c r="D795" s="413"/>
      <c r="E795" s="774"/>
      <c r="F795" s="414" t="s">
        <v>1153</v>
      </c>
      <c r="G795" s="415"/>
      <c r="H795" s="415"/>
      <c r="I795" s="415"/>
      <c r="J795" s="415"/>
      <c r="K795" s="415"/>
      <c r="L795" s="415"/>
      <c r="M795" s="415"/>
      <c r="N795" s="415"/>
      <c r="O795" s="415"/>
      <c r="P795" s="1152"/>
    </row>
    <row r="796" spans="1:16" ht="51.75" customHeight="1">
      <c r="A796" s="825" t="s">
        <v>401</v>
      </c>
      <c r="B796" s="489" t="s">
        <v>394</v>
      </c>
      <c r="C796" s="489"/>
      <c r="D796" s="420"/>
      <c r="E796" s="775"/>
      <c r="F796" s="492" t="s">
        <v>1154</v>
      </c>
      <c r="G796" s="422"/>
      <c r="H796" s="422"/>
      <c r="I796" s="422"/>
      <c r="J796" s="422"/>
      <c r="K796" s="422"/>
      <c r="L796" s="422"/>
      <c r="M796" s="422"/>
      <c r="N796" s="422"/>
      <c r="O796" s="422"/>
      <c r="P796" s="1153"/>
    </row>
    <row r="797" spans="1:16" ht="57.75" customHeight="1">
      <c r="A797" s="424"/>
      <c r="B797" s="425"/>
      <c r="C797" s="772"/>
      <c r="D797" s="420"/>
      <c r="E797" s="426">
        <v>610000</v>
      </c>
      <c r="F797" s="776" t="s">
        <v>359</v>
      </c>
      <c r="G797" s="422"/>
      <c r="H797" s="422"/>
      <c r="I797" s="422"/>
      <c r="J797" s="422"/>
      <c r="K797" s="422"/>
      <c r="L797" s="422"/>
      <c r="M797" s="422"/>
      <c r="N797" s="422"/>
      <c r="O797" s="422"/>
      <c r="P797" s="1153"/>
    </row>
    <row r="798" spans="1:16" ht="51.75" customHeight="1">
      <c r="A798" s="777" t="s">
        <v>401</v>
      </c>
      <c r="B798" s="778" t="s">
        <v>394</v>
      </c>
      <c r="C798" s="779" t="s">
        <v>391</v>
      </c>
      <c r="D798" s="461">
        <v>221</v>
      </c>
      <c r="E798" s="780" t="s">
        <v>291</v>
      </c>
      <c r="F798" s="781" t="s">
        <v>292</v>
      </c>
      <c r="G798" s="1154">
        <v>250000</v>
      </c>
      <c r="H798" s="1154"/>
      <c r="I798" s="1154"/>
      <c r="J798" s="1154">
        <f>G798+H798-I798</f>
        <v>250000</v>
      </c>
      <c r="K798" s="1154">
        <v>0</v>
      </c>
      <c r="L798" s="1154"/>
      <c r="M798" s="1154"/>
      <c r="N798" s="1154">
        <f>K798+L798-M798</f>
        <v>0</v>
      </c>
      <c r="O798" s="1154">
        <f>G798+K798</f>
        <v>250000</v>
      </c>
      <c r="P798" s="1155">
        <f>J798+N798</f>
        <v>250000</v>
      </c>
    </row>
    <row r="799" spans="1:16" ht="39.75" customHeight="1">
      <c r="A799" s="782" t="s">
        <v>401</v>
      </c>
      <c r="B799" s="783" t="s">
        <v>394</v>
      </c>
      <c r="C799" s="783" t="s">
        <v>391</v>
      </c>
      <c r="D799" s="461">
        <v>221</v>
      </c>
      <c r="E799" s="694">
        <v>613997</v>
      </c>
      <c r="F799" s="704" t="s">
        <v>189</v>
      </c>
      <c r="G799" s="1154">
        <v>2500</v>
      </c>
      <c r="H799" s="1154"/>
      <c r="I799" s="1154"/>
      <c r="J799" s="1154">
        <f>G799+H799-I799</f>
        <v>2500</v>
      </c>
      <c r="K799" s="1154">
        <v>0</v>
      </c>
      <c r="L799" s="1154"/>
      <c r="M799" s="1154"/>
      <c r="N799" s="1154">
        <f>K799+L799-M799</f>
        <v>0</v>
      </c>
      <c r="O799" s="1154">
        <f>G799+K799</f>
        <v>2500</v>
      </c>
      <c r="P799" s="1155">
        <f>J799+N799</f>
        <v>2500</v>
      </c>
    </row>
    <row r="800" spans="1:16" ht="37.5" customHeight="1">
      <c r="A800" s="605"/>
      <c r="B800" s="470"/>
      <c r="C800" s="470"/>
      <c r="D800" s="472"/>
      <c r="E800" s="581"/>
      <c r="F800" s="784" t="s">
        <v>697</v>
      </c>
      <c r="G800" s="1163">
        <f aca="true" t="shared" si="154" ref="G800:P800">SUM(G798,G799,)</f>
        <v>252500</v>
      </c>
      <c r="H800" s="1163">
        <f t="shared" si="154"/>
        <v>0</v>
      </c>
      <c r="I800" s="1163">
        <f t="shared" si="154"/>
        <v>0</v>
      </c>
      <c r="J800" s="1163">
        <f t="shared" si="154"/>
        <v>252500</v>
      </c>
      <c r="K800" s="1163">
        <f t="shared" si="154"/>
        <v>0</v>
      </c>
      <c r="L800" s="1163">
        <f t="shared" si="154"/>
        <v>0</v>
      </c>
      <c r="M800" s="1163">
        <f t="shared" si="154"/>
        <v>0</v>
      </c>
      <c r="N800" s="1163">
        <f t="shared" si="154"/>
        <v>0</v>
      </c>
      <c r="O800" s="1164">
        <f t="shared" si="154"/>
        <v>252500</v>
      </c>
      <c r="P800" s="1165">
        <f t="shared" si="154"/>
        <v>252500</v>
      </c>
    </row>
    <row r="801" spans="1:16" ht="48" customHeight="1" thickBot="1">
      <c r="A801" s="539"/>
      <c r="B801" s="540"/>
      <c r="C801" s="540"/>
      <c r="D801" s="453"/>
      <c r="E801" s="453"/>
      <c r="F801" s="675" t="s">
        <v>1138</v>
      </c>
      <c r="G801" s="1160">
        <f aca="true" t="shared" si="155" ref="G801:P801">SUM(G800)</f>
        <v>252500</v>
      </c>
      <c r="H801" s="1160">
        <f t="shared" si="155"/>
        <v>0</v>
      </c>
      <c r="I801" s="1160">
        <f t="shared" si="155"/>
        <v>0</v>
      </c>
      <c r="J801" s="1160">
        <f t="shared" si="155"/>
        <v>252500</v>
      </c>
      <c r="K801" s="1160">
        <f t="shared" si="155"/>
        <v>0</v>
      </c>
      <c r="L801" s="1160">
        <f t="shared" si="155"/>
        <v>0</v>
      </c>
      <c r="M801" s="1160">
        <f t="shared" si="155"/>
        <v>0</v>
      </c>
      <c r="N801" s="1160">
        <f t="shared" si="155"/>
        <v>0</v>
      </c>
      <c r="O801" s="1161">
        <f t="shared" si="155"/>
        <v>252500</v>
      </c>
      <c r="P801" s="1162">
        <f t="shared" si="155"/>
        <v>252500</v>
      </c>
    </row>
    <row r="802" spans="1:16" ht="264" customHeight="1">
      <c r="A802" s="401" t="s">
        <v>494</v>
      </c>
      <c r="B802" s="402" t="s">
        <v>495</v>
      </c>
      <c r="C802" s="403" t="s">
        <v>677</v>
      </c>
      <c r="D802" s="404" t="s">
        <v>497</v>
      </c>
      <c r="E802" s="404" t="s">
        <v>188</v>
      </c>
      <c r="F802" s="405" t="s">
        <v>496</v>
      </c>
      <c r="G802" s="813" t="s">
        <v>1322</v>
      </c>
      <c r="H802" s="813" t="s">
        <v>1324</v>
      </c>
      <c r="I802" s="813" t="s">
        <v>1325</v>
      </c>
      <c r="J802" s="813" t="s">
        <v>1326</v>
      </c>
      <c r="K802" s="813" t="s">
        <v>1323</v>
      </c>
      <c r="L802" s="813" t="s">
        <v>1327</v>
      </c>
      <c r="M802" s="813" t="s">
        <v>1328</v>
      </c>
      <c r="N802" s="813" t="s">
        <v>1329</v>
      </c>
      <c r="O802" s="1278" t="s">
        <v>1321</v>
      </c>
      <c r="P802" s="1149" t="s">
        <v>1330</v>
      </c>
    </row>
    <row r="803" spans="1:16" ht="28.5" customHeight="1">
      <c r="A803" s="1533">
        <v>0</v>
      </c>
      <c r="B803" s="1534"/>
      <c r="C803" s="1534"/>
      <c r="D803" s="409">
        <v>1</v>
      </c>
      <c r="E803" s="409">
        <v>2</v>
      </c>
      <c r="F803" s="410">
        <v>3</v>
      </c>
      <c r="G803" s="1150">
        <v>4</v>
      </c>
      <c r="H803" s="1150">
        <v>5</v>
      </c>
      <c r="I803" s="1150">
        <v>6</v>
      </c>
      <c r="J803" s="1150">
        <v>7</v>
      </c>
      <c r="K803" s="1150">
        <v>8</v>
      </c>
      <c r="L803" s="1150">
        <v>9</v>
      </c>
      <c r="M803" s="1150">
        <v>10</v>
      </c>
      <c r="N803" s="1150">
        <v>11</v>
      </c>
      <c r="O803" s="1150">
        <v>12</v>
      </c>
      <c r="P803" s="1151">
        <v>13</v>
      </c>
    </row>
    <row r="804" spans="1:16" ht="48" customHeight="1">
      <c r="A804" s="824" t="s">
        <v>401</v>
      </c>
      <c r="B804" s="484"/>
      <c r="C804" s="484"/>
      <c r="D804" s="413"/>
      <c r="E804" s="774"/>
      <c r="F804" s="414" t="s">
        <v>1153</v>
      </c>
      <c r="G804" s="415"/>
      <c r="H804" s="415"/>
      <c r="I804" s="415"/>
      <c r="J804" s="415"/>
      <c r="K804" s="415"/>
      <c r="L804" s="415"/>
      <c r="M804" s="415"/>
      <c r="N804" s="415"/>
      <c r="O804" s="415"/>
      <c r="P804" s="1152"/>
    </row>
    <row r="805" spans="1:16" ht="48" customHeight="1">
      <c r="A805" s="825" t="s">
        <v>401</v>
      </c>
      <c r="B805" s="1118" t="s">
        <v>395</v>
      </c>
      <c r="C805" s="489"/>
      <c r="D805" s="420"/>
      <c r="E805" s="775"/>
      <c r="F805" s="492" t="s">
        <v>1155</v>
      </c>
      <c r="G805" s="422"/>
      <c r="H805" s="422"/>
      <c r="I805" s="422"/>
      <c r="J805" s="422"/>
      <c r="K805" s="422"/>
      <c r="L805" s="422"/>
      <c r="M805" s="422"/>
      <c r="N805" s="422"/>
      <c r="O805" s="422"/>
      <c r="P805" s="1153"/>
    </row>
    <row r="806" spans="1:16" ht="48" customHeight="1">
      <c r="A806" s="424"/>
      <c r="B806" s="425"/>
      <c r="C806" s="772"/>
      <c r="D806" s="420"/>
      <c r="E806" s="426">
        <v>610000</v>
      </c>
      <c r="F806" s="776" t="s">
        <v>1164</v>
      </c>
      <c r="G806" s="422"/>
      <c r="H806" s="422"/>
      <c r="I806" s="422"/>
      <c r="J806" s="422"/>
      <c r="K806" s="422"/>
      <c r="L806" s="422"/>
      <c r="M806" s="422"/>
      <c r="N806" s="422"/>
      <c r="O806" s="422"/>
      <c r="P806" s="1153"/>
    </row>
    <row r="807" spans="1:16" ht="48" customHeight="1">
      <c r="A807" s="777" t="s">
        <v>401</v>
      </c>
      <c r="B807" s="778" t="s">
        <v>395</v>
      </c>
      <c r="C807" s="779" t="s">
        <v>391</v>
      </c>
      <c r="D807" s="461">
        <v>321</v>
      </c>
      <c r="E807" s="596">
        <v>613100</v>
      </c>
      <c r="F807" s="869" t="s">
        <v>997</v>
      </c>
      <c r="G807" s="1154">
        <v>1000</v>
      </c>
      <c r="H807" s="1154"/>
      <c r="I807" s="1154"/>
      <c r="J807" s="1154">
        <f>G807+H807-I807</f>
        <v>1000</v>
      </c>
      <c r="K807" s="1154">
        <v>0</v>
      </c>
      <c r="L807" s="1154"/>
      <c r="M807" s="1154"/>
      <c r="N807" s="1154">
        <f>K807+L807-M807</f>
        <v>0</v>
      </c>
      <c r="O807" s="1154">
        <f>G807+K807</f>
        <v>1000</v>
      </c>
      <c r="P807" s="1155">
        <f>J807+N807</f>
        <v>1000</v>
      </c>
    </row>
    <row r="808" spans="1:16" ht="48" customHeight="1">
      <c r="A808" s="1444" t="s">
        <v>401</v>
      </c>
      <c r="B808" s="1445" t="s">
        <v>395</v>
      </c>
      <c r="C808" s="1445" t="s">
        <v>391</v>
      </c>
      <c r="D808" s="1341">
        <v>321</v>
      </c>
      <c r="E808" s="1446">
        <v>613400</v>
      </c>
      <c r="F808" s="1441" t="s">
        <v>509</v>
      </c>
      <c r="G808" s="1315">
        <v>19000</v>
      </c>
      <c r="H808" s="1315">
        <v>25000</v>
      </c>
      <c r="I808" s="1315"/>
      <c r="J808" s="1315">
        <f>G808+H808-I808</f>
        <v>44000</v>
      </c>
      <c r="K808" s="1315">
        <v>0</v>
      </c>
      <c r="L808" s="1315"/>
      <c r="M808" s="1315"/>
      <c r="N808" s="1315">
        <f>K808+L808-M808</f>
        <v>0</v>
      </c>
      <c r="O808" s="1315">
        <f>G808+K808</f>
        <v>19000</v>
      </c>
      <c r="P808" s="1316">
        <f>J808+N808</f>
        <v>44000</v>
      </c>
    </row>
    <row r="809" spans="1:16" ht="48" customHeight="1">
      <c r="A809" s="782" t="s">
        <v>401</v>
      </c>
      <c r="B809" s="783" t="s">
        <v>395</v>
      </c>
      <c r="C809" s="783" t="s">
        <v>391</v>
      </c>
      <c r="D809" s="461">
        <v>321</v>
      </c>
      <c r="E809" s="694">
        <v>613720</v>
      </c>
      <c r="F809" s="704" t="s">
        <v>511</v>
      </c>
      <c r="G809" s="1154">
        <v>40000</v>
      </c>
      <c r="H809" s="1154"/>
      <c r="I809" s="1154"/>
      <c r="J809" s="1154">
        <f>G809+H809-I809</f>
        <v>40000</v>
      </c>
      <c r="K809" s="1154">
        <v>0</v>
      </c>
      <c r="L809" s="1154"/>
      <c r="M809" s="1154"/>
      <c r="N809" s="1154">
        <f>K809+L809-M809</f>
        <v>0</v>
      </c>
      <c r="O809" s="1154">
        <f>G809+K809</f>
        <v>40000</v>
      </c>
      <c r="P809" s="1155">
        <f>J809+N809</f>
        <v>40000</v>
      </c>
    </row>
    <row r="810" spans="1:16" ht="48" customHeight="1">
      <c r="A810" s="782" t="s">
        <v>401</v>
      </c>
      <c r="B810" s="783" t="s">
        <v>395</v>
      </c>
      <c r="C810" s="783" t="s">
        <v>391</v>
      </c>
      <c r="D810" s="461">
        <v>321</v>
      </c>
      <c r="E810" s="908" t="s">
        <v>683</v>
      </c>
      <c r="F810" s="693" t="s">
        <v>1163</v>
      </c>
      <c r="G810" s="1154">
        <v>5000</v>
      </c>
      <c r="H810" s="1154"/>
      <c r="I810" s="1154"/>
      <c r="J810" s="1154">
        <f>G810+H810-I810</f>
        <v>5000</v>
      </c>
      <c r="K810" s="1154">
        <v>0</v>
      </c>
      <c r="L810" s="1154"/>
      <c r="M810" s="1154"/>
      <c r="N810" s="1154">
        <f>K810+L810-M810</f>
        <v>0</v>
      </c>
      <c r="O810" s="1154">
        <f>G810+K810</f>
        <v>5000</v>
      </c>
      <c r="P810" s="1155">
        <f>J810+N810</f>
        <v>5000</v>
      </c>
    </row>
    <row r="811" spans="1:16" ht="48" customHeight="1">
      <c r="A811" s="1119"/>
      <c r="B811" s="1120"/>
      <c r="C811" s="1120"/>
      <c r="D811" s="780"/>
      <c r="E811" s="623">
        <v>820000</v>
      </c>
      <c r="F811" s="761" t="s">
        <v>654</v>
      </c>
      <c r="G811" s="1181"/>
      <c r="H811" s="1181"/>
      <c r="I811" s="1181"/>
      <c r="J811" s="1181"/>
      <c r="K811" s="1181"/>
      <c r="L811" s="1181"/>
      <c r="M811" s="1181"/>
      <c r="N811" s="1181"/>
      <c r="O811" s="1181"/>
      <c r="P811" s="1203"/>
    </row>
    <row r="812" spans="1:16" ht="48" customHeight="1">
      <c r="A812" s="1438" t="s">
        <v>401</v>
      </c>
      <c r="B812" s="1439" t="s">
        <v>395</v>
      </c>
      <c r="C812" s="1439" t="s">
        <v>391</v>
      </c>
      <c r="D812" s="1341">
        <v>321</v>
      </c>
      <c r="E812" s="1313">
        <v>821300</v>
      </c>
      <c r="F812" s="1362" t="s">
        <v>528</v>
      </c>
      <c r="G812" s="1440">
        <v>7515.5</v>
      </c>
      <c r="H812" s="1440">
        <v>4000</v>
      </c>
      <c r="I812" s="1440"/>
      <c r="J812" s="1315">
        <f>G812+H812-I812</f>
        <v>11515.5</v>
      </c>
      <c r="K812" s="1440">
        <v>0</v>
      </c>
      <c r="L812" s="1413"/>
      <c r="M812" s="1413"/>
      <c r="N812" s="1315">
        <f>K812+L812-M812</f>
        <v>0</v>
      </c>
      <c r="O812" s="1315">
        <f>G812+K812</f>
        <v>7515.5</v>
      </c>
      <c r="P812" s="1316">
        <f>J812+N812</f>
        <v>11515.5</v>
      </c>
    </row>
    <row r="813" spans="1:16" ht="48" customHeight="1">
      <c r="A813" s="1438" t="s">
        <v>401</v>
      </c>
      <c r="B813" s="1439" t="s">
        <v>395</v>
      </c>
      <c r="C813" s="1439" t="s">
        <v>391</v>
      </c>
      <c r="D813" s="1341">
        <v>321</v>
      </c>
      <c r="E813" s="1385" t="s">
        <v>1033</v>
      </c>
      <c r="F813" s="1441" t="s">
        <v>1405</v>
      </c>
      <c r="G813" s="1442">
        <v>0</v>
      </c>
      <c r="H813" s="1442">
        <v>7000</v>
      </c>
      <c r="I813" s="1442"/>
      <c r="J813" s="1315">
        <f>G813+H813-I813</f>
        <v>7000</v>
      </c>
      <c r="K813" s="1442">
        <v>0</v>
      </c>
      <c r="L813" s="1412"/>
      <c r="M813" s="1412"/>
      <c r="N813" s="1350">
        <f>K813+L813-M813</f>
        <v>0</v>
      </c>
      <c r="O813" s="1350">
        <f>G813+K813</f>
        <v>0</v>
      </c>
      <c r="P813" s="1443">
        <f>J813+N813</f>
        <v>7000</v>
      </c>
    </row>
    <row r="814" spans="1:16" ht="48" customHeight="1" thickBot="1">
      <c r="A814" s="539"/>
      <c r="B814" s="540"/>
      <c r="C814" s="540"/>
      <c r="D814" s="453"/>
      <c r="E814" s="453"/>
      <c r="F814" s="675" t="s">
        <v>1156</v>
      </c>
      <c r="G814" s="1160">
        <f>SUM(G807:G813)</f>
        <v>72515.5</v>
      </c>
      <c r="H814" s="1160">
        <f aca="true" t="shared" si="156" ref="H814:O814">SUM(H807:H813)</f>
        <v>36000</v>
      </c>
      <c r="I814" s="1160">
        <f t="shared" si="156"/>
        <v>0</v>
      </c>
      <c r="J814" s="1160">
        <f t="shared" si="156"/>
        <v>108515.5</v>
      </c>
      <c r="K814" s="1160">
        <f t="shared" si="156"/>
        <v>0</v>
      </c>
      <c r="L814" s="1160">
        <f t="shared" si="156"/>
        <v>0</v>
      </c>
      <c r="M814" s="1160">
        <f t="shared" si="156"/>
        <v>0</v>
      </c>
      <c r="N814" s="1160">
        <f t="shared" si="156"/>
        <v>0</v>
      </c>
      <c r="O814" s="1160">
        <f t="shared" si="156"/>
        <v>72515.5</v>
      </c>
      <c r="P814" s="1160">
        <f>SUM(P807:P813)</f>
        <v>108515.5</v>
      </c>
    </row>
    <row r="815" spans="1:16" ht="48" customHeight="1" thickBot="1">
      <c r="A815" s="554"/>
      <c r="B815" s="555"/>
      <c r="C815" s="555"/>
      <c r="D815" s="556"/>
      <c r="E815" s="556"/>
      <c r="F815" s="785" t="s">
        <v>747</v>
      </c>
      <c r="G815" s="1186">
        <f aca="true" t="shared" si="157" ref="G815:P815">SUM(G814,G801,G792,G769,G758)</f>
        <v>6450374.92</v>
      </c>
      <c r="H815" s="1186">
        <f t="shared" si="157"/>
        <v>66000</v>
      </c>
      <c r="I815" s="1186">
        <f t="shared" si="157"/>
        <v>37000</v>
      </c>
      <c r="J815" s="1186">
        <f t="shared" si="157"/>
        <v>6479374.92</v>
      </c>
      <c r="K815" s="1186">
        <f t="shared" si="157"/>
        <v>296657.49</v>
      </c>
      <c r="L815" s="1186">
        <f t="shared" si="157"/>
        <v>0</v>
      </c>
      <c r="M815" s="1186">
        <f t="shared" si="157"/>
        <v>7850</v>
      </c>
      <c r="N815" s="1186">
        <f t="shared" si="157"/>
        <v>288807.49</v>
      </c>
      <c r="O815" s="1187">
        <f t="shared" si="157"/>
        <v>6747032.41</v>
      </c>
      <c r="P815" s="1188">
        <f t="shared" si="157"/>
        <v>6768182.41</v>
      </c>
    </row>
    <row r="816" spans="1:16" ht="276.75" customHeight="1">
      <c r="A816" s="401" t="s">
        <v>494</v>
      </c>
      <c r="B816" s="402" t="s">
        <v>495</v>
      </c>
      <c r="C816" s="403" t="s">
        <v>677</v>
      </c>
      <c r="D816" s="404" t="s">
        <v>497</v>
      </c>
      <c r="E816" s="404" t="s">
        <v>188</v>
      </c>
      <c r="F816" s="405" t="s">
        <v>496</v>
      </c>
      <c r="G816" s="813" t="s">
        <v>1322</v>
      </c>
      <c r="H816" s="813" t="s">
        <v>1324</v>
      </c>
      <c r="I816" s="813" t="s">
        <v>1325</v>
      </c>
      <c r="J816" s="813" t="s">
        <v>1326</v>
      </c>
      <c r="K816" s="813" t="s">
        <v>1323</v>
      </c>
      <c r="L816" s="813" t="s">
        <v>1327</v>
      </c>
      <c r="M816" s="813" t="s">
        <v>1328</v>
      </c>
      <c r="N816" s="813" t="s">
        <v>1329</v>
      </c>
      <c r="O816" s="1278" t="s">
        <v>1321</v>
      </c>
      <c r="P816" s="1149" t="s">
        <v>1330</v>
      </c>
    </row>
    <row r="817" spans="1:16" ht="30" customHeight="1">
      <c r="A817" s="1533">
        <v>0</v>
      </c>
      <c r="B817" s="1534"/>
      <c r="C817" s="1534"/>
      <c r="D817" s="409">
        <v>1</v>
      </c>
      <c r="E817" s="409">
        <v>2</v>
      </c>
      <c r="F817" s="410">
        <v>3</v>
      </c>
      <c r="G817" s="1150">
        <v>4</v>
      </c>
      <c r="H817" s="1150">
        <v>5</v>
      </c>
      <c r="I817" s="1150">
        <v>6</v>
      </c>
      <c r="J817" s="1150">
        <v>7</v>
      </c>
      <c r="K817" s="1150">
        <v>8</v>
      </c>
      <c r="L817" s="1150">
        <v>9</v>
      </c>
      <c r="M817" s="1150">
        <v>10</v>
      </c>
      <c r="N817" s="1150">
        <v>11</v>
      </c>
      <c r="O817" s="1150">
        <v>12</v>
      </c>
      <c r="P817" s="1151">
        <v>13</v>
      </c>
    </row>
    <row r="818" spans="1:16" ht="49.5" customHeight="1">
      <c r="A818" s="483" t="s">
        <v>402</v>
      </c>
      <c r="B818" s="484"/>
      <c r="C818" s="484"/>
      <c r="D818" s="413"/>
      <c r="E818" s="786"/>
      <c r="F818" s="566" t="s">
        <v>742</v>
      </c>
      <c r="G818" s="415"/>
      <c r="H818" s="415"/>
      <c r="I818" s="415"/>
      <c r="J818" s="415"/>
      <c r="K818" s="415"/>
      <c r="L818" s="415"/>
      <c r="M818" s="415"/>
      <c r="N818" s="415"/>
      <c r="O818" s="415"/>
      <c r="P818" s="1152"/>
    </row>
    <row r="819" spans="1:16" ht="42" customHeight="1">
      <c r="A819" s="488" t="s">
        <v>402</v>
      </c>
      <c r="B819" s="489" t="s">
        <v>390</v>
      </c>
      <c r="C819" s="489"/>
      <c r="D819" s="420"/>
      <c r="E819" s="531"/>
      <c r="F819" s="492" t="s">
        <v>743</v>
      </c>
      <c r="G819" s="422"/>
      <c r="H819" s="422"/>
      <c r="I819" s="422"/>
      <c r="J819" s="422"/>
      <c r="K819" s="422"/>
      <c r="L819" s="422"/>
      <c r="M819" s="422"/>
      <c r="N819" s="422"/>
      <c r="O819" s="422"/>
      <c r="P819" s="1153"/>
    </row>
    <row r="820" spans="1:16" ht="39" customHeight="1">
      <c r="A820" s="424"/>
      <c r="B820" s="425"/>
      <c r="C820" s="425"/>
      <c r="D820" s="420"/>
      <c r="E820" s="426">
        <v>610000</v>
      </c>
      <c r="F820" s="534" t="s">
        <v>529</v>
      </c>
      <c r="G820" s="422"/>
      <c r="H820" s="422"/>
      <c r="I820" s="422"/>
      <c r="J820" s="422"/>
      <c r="K820" s="422"/>
      <c r="L820" s="422"/>
      <c r="M820" s="422"/>
      <c r="N820" s="422"/>
      <c r="O820" s="422"/>
      <c r="P820" s="1153"/>
    </row>
    <row r="821" spans="1:16" ht="49.5" customHeight="1">
      <c r="A821" s="937" t="s">
        <v>402</v>
      </c>
      <c r="B821" s="938" t="s">
        <v>390</v>
      </c>
      <c r="C821" s="939" t="s">
        <v>391</v>
      </c>
      <c r="D821" s="888">
        <v>161</v>
      </c>
      <c r="E821" s="596">
        <v>611100</v>
      </c>
      <c r="F821" s="626" t="s">
        <v>962</v>
      </c>
      <c r="G821" s="1154">
        <v>298500</v>
      </c>
      <c r="H821" s="1154"/>
      <c r="I821" s="1154"/>
      <c r="J821" s="1154">
        <f aca="true" t="shared" si="158" ref="J821:J830">G821+H821-I821</f>
        <v>298500</v>
      </c>
      <c r="K821" s="1154">
        <v>0</v>
      </c>
      <c r="L821" s="1154"/>
      <c r="M821" s="1154"/>
      <c r="N821" s="1154">
        <f aca="true" t="shared" si="159" ref="N821:N830">K821+L821-M821</f>
        <v>0</v>
      </c>
      <c r="O821" s="1154">
        <f aca="true" t="shared" si="160" ref="O821:O830">G821+K821</f>
        <v>298500</v>
      </c>
      <c r="P821" s="1155">
        <f aca="true" t="shared" si="161" ref="P821:P830">J821+N821</f>
        <v>298500</v>
      </c>
    </row>
    <row r="822" spans="1:16" ht="34.5" customHeight="1">
      <c r="A822" s="941" t="s">
        <v>402</v>
      </c>
      <c r="B822" s="942" t="s">
        <v>390</v>
      </c>
      <c r="C822" s="942" t="s">
        <v>391</v>
      </c>
      <c r="D822" s="940">
        <v>161</v>
      </c>
      <c r="E822" s="590">
        <v>611200</v>
      </c>
      <c r="F822" s="943" t="s">
        <v>514</v>
      </c>
      <c r="G822" s="1154">
        <v>55000</v>
      </c>
      <c r="H822" s="1154"/>
      <c r="I822" s="1154"/>
      <c r="J822" s="1154">
        <f t="shared" si="158"/>
        <v>55000</v>
      </c>
      <c r="K822" s="1154">
        <v>0</v>
      </c>
      <c r="L822" s="1154"/>
      <c r="M822" s="1154"/>
      <c r="N822" s="1154">
        <f t="shared" si="159"/>
        <v>0</v>
      </c>
      <c r="O822" s="1154">
        <f t="shared" si="160"/>
        <v>55000</v>
      </c>
      <c r="P822" s="1155">
        <f t="shared" si="161"/>
        <v>55000</v>
      </c>
    </row>
    <row r="823" spans="1:16" ht="36.75" customHeight="1">
      <c r="A823" s="941" t="s">
        <v>402</v>
      </c>
      <c r="B823" s="942" t="s">
        <v>390</v>
      </c>
      <c r="C823" s="942" t="s">
        <v>391</v>
      </c>
      <c r="D823" s="940">
        <v>161</v>
      </c>
      <c r="E823" s="464">
        <v>612000</v>
      </c>
      <c r="F823" s="627" t="s">
        <v>889</v>
      </c>
      <c r="G823" s="1154">
        <v>32000</v>
      </c>
      <c r="H823" s="1154"/>
      <c r="I823" s="1154"/>
      <c r="J823" s="1154">
        <f t="shared" si="158"/>
        <v>32000</v>
      </c>
      <c r="K823" s="1154">
        <v>0</v>
      </c>
      <c r="L823" s="1154"/>
      <c r="M823" s="1154"/>
      <c r="N823" s="1154">
        <f t="shared" si="159"/>
        <v>0</v>
      </c>
      <c r="O823" s="1154">
        <f t="shared" si="160"/>
        <v>32000</v>
      </c>
      <c r="P823" s="1155">
        <f t="shared" si="161"/>
        <v>32000</v>
      </c>
    </row>
    <row r="824" spans="1:16" ht="35.25" customHeight="1">
      <c r="A824" s="941" t="s">
        <v>402</v>
      </c>
      <c r="B824" s="942" t="s">
        <v>390</v>
      </c>
      <c r="C824" s="942" t="s">
        <v>391</v>
      </c>
      <c r="D824" s="940">
        <v>161</v>
      </c>
      <c r="E824" s="656">
        <v>613100</v>
      </c>
      <c r="F824" s="598" t="s">
        <v>515</v>
      </c>
      <c r="G824" s="1154">
        <v>1000</v>
      </c>
      <c r="H824" s="1154"/>
      <c r="I824" s="1154"/>
      <c r="J824" s="1154">
        <f t="shared" si="158"/>
        <v>1000</v>
      </c>
      <c r="K824" s="1154">
        <v>0</v>
      </c>
      <c r="L824" s="1154"/>
      <c r="M824" s="1154"/>
      <c r="N824" s="1154">
        <f t="shared" si="159"/>
        <v>0</v>
      </c>
      <c r="O824" s="1154">
        <f t="shared" si="160"/>
        <v>1000</v>
      </c>
      <c r="P824" s="1155">
        <f t="shared" si="161"/>
        <v>1000</v>
      </c>
    </row>
    <row r="825" spans="1:16" ht="33" customHeight="1">
      <c r="A825" s="941" t="s">
        <v>402</v>
      </c>
      <c r="B825" s="942" t="s">
        <v>390</v>
      </c>
      <c r="C825" s="942" t="s">
        <v>391</v>
      </c>
      <c r="D825" s="940">
        <v>161</v>
      </c>
      <c r="E825" s="829">
        <v>613310</v>
      </c>
      <c r="F825" s="903" t="s">
        <v>616</v>
      </c>
      <c r="G825" s="1154">
        <v>4000</v>
      </c>
      <c r="H825" s="1154"/>
      <c r="I825" s="1154"/>
      <c r="J825" s="1154">
        <f t="shared" si="158"/>
        <v>4000</v>
      </c>
      <c r="K825" s="1154">
        <v>0</v>
      </c>
      <c r="L825" s="1154"/>
      <c r="M825" s="1154"/>
      <c r="N825" s="1154">
        <f t="shared" si="159"/>
        <v>0</v>
      </c>
      <c r="O825" s="1154">
        <f t="shared" si="160"/>
        <v>4000</v>
      </c>
      <c r="P825" s="1155">
        <f t="shared" si="161"/>
        <v>4000</v>
      </c>
    </row>
    <row r="826" spans="1:16" ht="30.75" customHeight="1">
      <c r="A826" s="941" t="s">
        <v>402</v>
      </c>
      <c r="B826" s="942" t="s">
        <v>390</v>
      </c>
      <c r="C826" s="942" t="s">
        <v>391</v>
      </c>
      <c r="D826" s="940">
        <v>161</v>
      </c>
      <c r="E826" s="656">
        <v>613400</v>
      </c>
      <c r="F826" s="598" t="s">
        <v>501</v>
      </c>
      <c r="G826" s="1154">
        <v>8000</v>
      </c>
      <c r="H826" s="1154"/>
      <c r="I826" s="1154"/>
      <c r="J826" s="1154">
        <f t="shared" si="158"/>
        <v>8000</v>
      </c>
      <c r="K826" s="1154">
        <v>0</v>
      </c>
      <c r="L826" s="1154"/>
      <c r="M826" s="1154"/>
      <c r="N826" s="1154">
        <f t="shared" si="159"/>
        <v>0</v>
      </c>
      <c r="O826" s="1154">
        <f t="shared" si="160"/>
        <v>8000</v>
      </c>
      <c r="P826" s="1155">
        <f t="shared" si="161"/>
        <v>8000</v>
      </c>
    </row>
    <row r="827" spans="1:16" ht="39" customHeight="1">
      <c r="A827" s="941" t="s">
        <v>402</v>
      </c>
      <c r="B827" s="942" t="s">
        <v>390</v>
      </c>
      <c r="C827" s="942" t="s">
        <v>391</v>
      </c>
      <c r="D827" s="940">
        <v>161</v>
      </c>
      <c r="E827" s="656">
        <v>613720</v>
      </c>
      <c r="F827" s="598" t="s">
        <v>530</v>
      </c>
      <c r="G827" s="1154">
        <v>4000</v>
      </c>
      <c r="H827" s="1154"/>
      <c r="I827" s="1154"/>
      <c r="J827" s="1154">
        <f t="shared" si="158"/>
        <v>4000</v>
      </c>
      <c r="K827" s="1154">
        <v>0</v>
      </c>
      <c r="L827" s="1154"/>
      <c r="M827" s="1154"/>
      <c r="N827" s="1154">
        <f t="shared" si="159"/>
        <v>0</v>
      </c>
      <c r="O827" s="1154">
        <f t="shared" si="160"/>
        <v>4000</v>
      </c>
      <c r="P827" s="1155">
        <f t="shared" si="161"/>
        <v>4000</v>
      </c>
    </row>
    <row r="828" spans="1:16" ht="39" customHeight="1">
      <c r="A828" s="1363" t="s">
        <v>402</v>
      </c>
      <c r="B828" s="1364" t="s">
        <v>390</v>
      </c>
      <c r="C828" s="1364" t="s">
        <v>391</v>
      </c>
      <c r="D828" s="1365">
        <v>161</v>
      </c>
      <c r="E828" s="1310">
        <v>613910</v>
      </c>
      <c r="F828" s="1343" t="s">
        <v>502</v>
      </c>
      <c r="G828" s="1315">
        <v>11000</v>
      </c>
      <c r="H828" s="1315"/>
      <c r="I828" s="1315">
        <v>3000</v>
      </c>
      <c r="J828" s="1315">
        <f t="shared" si="158"/>
        <v>8000</v>
      </c>
      <c r="K828" s="1315">
        <v>0</v>
      </c>
      <c r="L828" s="1315"/>
      <c r="M828" s="1315"/>
      <c r="N828" s="1315">
        <f t="shared" si="159"/>
        <v>0</v>
      </c>
      <c r="O828" s="1315">
        <f t="shared" si="160"/>
        <v>11000</v>
      </c>
      <c r="P828" s="1316">
        <f t="shared" si="161"/>
        <v>8000</v>
      </c>
    </row>
    <row r="829" spans="1:16" ht="39" customHeight="1">
      <c r="A829" s="941" t="s">
        <v>402</v>
      </c>
      <c r="B829" s="942" t="s">
        <v>390</v>
      </c>
      <c r="C829" s="942" t="s">
        <v>391</v>
      </c>
      <c r="D829" s="940">
        <v>161</v>
      </c>
      <c r="E829" s="890">
        <v>613934</v>
      </c>
      <c r="F829" s="628" t="s">
        <v>540</v>
      </c>
      <c r="G829" s="1154">
        <v>3000</v>
      </c>
      <c r="H829" s="1154"/>
      <c r="I829" s="1154"/>
      <c r="J829" s="1154">
        <f t="shared" si="158"/>
        <v>3000</v>
      </c>
      <c r="K829" s="1154">
        <v>0</v>
      </c>
      <c r="L829" s="1154"/>
      <c r="M829" s="1154"/>
      <c r="N829" s="1154">
        <f t="shared" si="159"/>
        <v>0</v>
      </c>
      <c r="O829" s="1154">
        <f t="shared" si="160"/>
        <v>3000</v>
      </c>
      <c r="P829" s="1155">
        <f t="shared" si="161"/>
        <v>3000</v>
      </c>
    </row>
    <row r="830" spans="1:16" ht="39" customHeight="1">
      <c r="A830" s="941" t="s">
        <v>402</v>
      </c>
      <c r="B830" s="942" t="s">
        <v>390</v>
      </c>
      <c r="C830" s="942" t="s">
        <v>391</v>
      </c>
      <c r="D830" s="940">
        <v>161</v>
      </c>
      <c r="E830" s="930" t="s">
        <v>621</v>
      </c>
      <c r="F830" s="753" t="s">
        <v>517</v>
      </c>
      <c r="G830" s="1154">
        <v>1000</v>
      </c>
      <c r="H830" s="1181"/>
      <c r="I830" s="1181"/>
      <c r="J830" s="1154">
        <f t="shared" si="158"/>
        <v>1000</v>
      </c>
      <c r="K830" s="1181">
        <v>0</v>
      </c>
      <c r="L830" s="1181"/>
      <c r="M830" s="1181"/>
      <c r="N830" s="1154">
        <f t="shared" si="159"/>
        <v>0</v>
      </c>
      <c r="O830" s="1154">
        <f t="shared" si="160"/>
        <v>1000</v>
      </c>
      <c r="P830" s="1155">
        <f t="shared" si="161"/>
        <v>1000</v>
      </c>
    </row>
    <row r="831" spans="1:16" ht="42.75" customHeight="1">
      <c r="A831" s="937"/>
      <c r="B831" s="938"/>
      <c r="C831" s="939"/>
      <c r="D831" s="925"/>
      <c r="E831" s="634">
        <v>820000</v>
      </c>
      <c r="F831" s="944" t="s">
        <v>654</v>
      </c>
      <c r="G831" s="1158"/>
      <c r="H831" s="1158"/>
      <c r="I831" s="1158"/>
      <c r="J831" s="1158"/>
      <c r="K831" s="1158"/>
      <c r="L831" s="1158"/>
      <c r="M831" s="1158"/>
      <c r="N831" s="1158"/>
      <c r="O831" s="1158"/>
      <c r="P831" s="1159"/>
    </row>
    <row r="832" spans="1:16" ht="42.75" customHeight="1">
      <c r="A832" s="1366" t="s">
        <v>402</v>
      </c>
      <c r="B832" s="1367" t="s">
        <v>390</v>
      </c>
      <c r="C832" s="1368" t="s">
        <v>391</v>
      </c>
      <c r="D832" s="1365">
        <v>161</v>
      </c>
      <c r="E832" s="1321">
        <v>821300</v>
      </c>
      <c r="F832" s="1340" t="s">
        <v>528</v>
      </c>
      <c r="G832" s="1315">
        <v>12000</v>
      </c>
      <c r="H832" s="1315"/>
      <c r="I832" s="1315">
        <v>12000</v>
      </c>
      <c r="J832" s="1315">
        <f>G832+H832-I832</f>
        <v>0</v>
      </c>
      <c r="K832" s="1315">
        <v>0</v>
      </c>
      <c r="L832" s="1315"/>
      <c r="M832" s="1315"/>
      <c r="N832" s="1315">
        <f>K832+L832-M832</f>
        <v>0</v>
      </c>
      <c r="O832" s="1315">
        <f>G832+K832</f>
        <v>12000</v>
      </c>
      <c r="P832" s="1316">
        <f>J832+N832</f>
        <v>0</v>
      </c>
    </row>
    <row r="833" spans="1:16" ht="42.75" customHeight="1" thickBot="1">
      <c r="A833" s="539"/>
      <c r="B833" s="540"/>
      <c r="C833" s="540"/>
      <c r="D833" s="453"/>
      <c r="E833" s="735"/>
      <c r="F833" s="515" t="s">
        <v>744</v>
      </c>
      <c r="G833" s="1160">
        <f aca="true" t="shared" si="162" ref="G833:P833">SUM(G821:G832)</f>
        <v>429500</v>
      </c>
      <c r="H833" s="1160">
        <f t="shared" si="162"/>
        <v>0</v>
      </c>
      <c r="I833" s="1160">
        <f t="shared" si="162"/>
        <v>15000</v>
      </c>
      <c r="J833" s="1160">
        <f t="shared" si="162"/>
        <v>414500</v>
      </c>
      <c r="K833" s="1160">
        <f t="shared" si="162"/>
        <v>0</v>
      </c>
      <c r="L833" s="1160">
        <f t="shared" si="162"/>
        <v>0</v>
      </c>
      <c r="M833" s="1160">
        <f t="shared" si="162"/>
        <v>0</v>
      </c>
      <c r="N833" s="1160">
        <f t="shared" si="162"/>
        <v>0</v>
      </c>
      <c r="O833" s="1161">
        <f t="shared" si="162"/>
        <v>429500</v>
      </c>
      <c r="P833" s="1162">
        <f t="shared" si="162"/>
        <v>414500</v>
      </c>
    </row>
    <row r="834" spans="1:16" ht="42.75" customHeight="1">
      <c r="A834" s="552"/>
      <c r="B834" s="553"/>
      <c r="C834" s="553"/>
      <c r="D834" s="420"/>
      <c r="E834" s="737"/>
      <c r="F834" s="518" t="s">
        <v>1142</v>
      </c>
      <c r="G834" s="1175"/>
      <c r="H834" s="1175"/>
      <c r="I834" s="1175"/>
      <c r="J834" s="1175"/>
      <c r="K834" s="1175"/>
      <c r="L834" s="1175"/>
      <c r="M834" s="1175"/>
      <c r="N834" s="1175"/>
      <c r="O834" s="1175"/>
      <c r="P834" s="1176"/>
    </row>
    <row r="835" spans="1:16" ht="42.75" customHeight="1">
      <c r="A835" s="552"/>
      <c r="B835" s="553"/>
      <c r="C835" s="553"/>
      <c r="D835" s="420"/>
      <c r="E835" s="737"/>
      <c r="F835" s="473" t="s">
        <v>1076</v>
      </c>
      <c r="G835" s="1177"/>
      <c r="H835" s="1177"/>
      <c r="I835" s="1177"/>
      <c r="J835" s="1177"/>
      <c r="K835" s="1177"/>
      <c r="L835" s="1177"/>
      <c r="M835" s="1177"/>
      <c r="N835" s="1177"/>
      <c r="O835" s="1177">
        <v>12</v>
      </c>
      <c r="P835" s="1178"/>
    </row>
    <row r="836" spans="1:16" s="519" customFormat="1" ht="44.25" customHeight="1" thickBot="1">
      <c r="A836" s="585"/>
      <c r="B836" s="475"/>
      <c r="C836" s="475"/>
      <c r="D836" s="477"/>
      <c r="E836" s="738"/>
      <c r="F836" s="515" t="s">
        <v>834</v>
      </c>
      <c r="G836" s="1201"/>
      <c r="H836" s="1201"/>
      <c r="I836" s="1201"/>
      <c r="J836" s="1201"/>
      <c r="K836" s="1201"/>
      <c r="L836" s="1201"/>
      <c r="M836" s="1201"/>
      <c r="N836" s="1201"/>
      <c r="O836" s="1201">
        <v>17</v>
      </c>
      <c r="P836" s="1202"/>
    </row>
    <row r="837" spans="1:16" s="527" customFormat="1" ht="273" customHeight="1">
      <c r="A837" s="401" t="s">
        <v>494</v>
      </c>
      <c r="B837" s="402" t="s">
        <v>495</v>
      </c>
      <c r="C837" s="403" t="s">
        <v>677</v>
      </c>
      <c r="D837" s="404" t="s">
        <v>497</v>
      </c>
      <c r="E837" s="404" t="s">
        <v>188</v>
      </c>
      <c r="F837" s="405" t="s">
        <v>496</v>
      </c>
      <c r="G837" s="813" t="s">
        <v>1322</v>
      </c>
      <c r="H837" s="813" t="s">
        <v>1324</v>
      </c>
      <c r="I837" s="813" t="s">
        <v>1325</v>
      </c>
      <c r="J837" s="813" t="s">
        <v>1326</v>
      </c>
      <c r="K837" s="813" t="s">
        <v>1323</v>
      </c>
      <c r="L837" s="813" t="s">
        <v>1327</v>
      </c>
      <c r="M837" s="813" t="s">
        <v>1328</v>
      </c>
      <c r="N837" s="813" t="s">
        <v>1329</v>
      </c>
      <c r="O837" s="1278" t="s">
        <v>1321</v>
      </c>
      <c r="P837" s="1149" t="s">
        <v>1330</v>
      </c>
    </row>
    <row r="838" spans="1:16" ht="25.5" customHeight="1">
      <c r="A838" s="1533">
        <v>0</v>
      </c>
      <c r="B838" s="1534"/>
      <c r="C838" s="1534"/>
      <c r="D838" s="409">
        <v>1</v>
      </c>
      <c r="E838" s="409">
        <v>2</v>
      </c>
      <c r="F838" s="410">
        <v>3</v>
      </c>
      <c r="G838" s="1150">
        <v>4</v>
      </c>
      <c r="H838" s="1150">
        <v>5</v>
      </c>
      <c r="I838" s="1150">
        <v>6</v>
      </c>
      <c r="J838" s="1150">
        <v>7</v>
      </c>
      <c r="K838" s="1150">
        <v>8</v>
      </c>
      <c r="L838" s="1150">
        <v>9</v>
      </c>
      <c r="M838" s="1150">
        <v>10</v>
      </c>
      <c r="N838" s="1150">
        <v>11</v>
      </c>
      <c r="O838" s="1150">
        <v>12</v>
      </c>
      <c r="P838" s="1151">
        <v>13</v>
      </c>
    </row>
    <row r="839" spans="1:16" ht="40.5" customHeight="1">
      <c r="A839" s="483" t="s">
        <v>403</v>
      </c>
      <c r="B839" s="484"/>
      <c r="C839" s="484"/>
      <c r="D839" s="413"/>
      <c r="E839" s="530"/>
      <c r="F839" s="566" t="s">
        <v>23</v>
      </c>
      <c r="G839" s="415"/>
      <c r="H839" s="415"/>
      <c r="I839" s="415"/>
      <c r="J839" s="415"/>
      <c r="K839" s="415"/>
      <c r="L839" s="415"/>
      <c r="M839" s="415"/>
      <c r="N839" s="415"/>
      <c r="O839" s="415"/>
      <c r="P839" s="1152"/>
    </row>
    <row r="840" spans="1:16" ht="36.75" customHeight="1">
      <c r="A840" s="488" t="s">
        <v>403</v>
      </c>
      <c r="B840" s="489" t="s">
        <v>390</v>
      </c>
      <c r="C840" s="489"/>
      <c r="D840" s="420"/>
      <c r="E840" s="531"/>
      <c r="F840" s="492" t="s">
        <v>24</v>
      </c>
      <c r="G840" s="422"/>
      <c r="H840" s="422"/>
      <c r="I840" s="422"/>
      <c r="J840" s="422"/>
      <c r="K840" s="422"/>
      <c r="L840" s="422"/>
      <c r="M840" s="422"/>
      <c r="N840" s="422"/>
      <c r="O840" s="422"/>
      <c r="P840" s="1153"/>
    </row>
    <row r="841" spans="1:16" ht="30.75" customHeight="1">
      <c r="A841" s="424"/>
      <c r="B841" s="425"/>
      <c r="C841" s="425"/>
      <c r="D841" s="420"/>
      <c r="E841" s="426" t="s">
        <v>303</v>
      </c>
      <c r="F841" s="534" t="s">
        <v>513</v>
      </c>
      <c r="G841" s="422"/>
      <c r="H841" s="422"/>
      <c r="I841" s="422"/>
      <c r="J841" s="422"/>
      <c r="K841" s="422"/>
      <c r="L841" s="422"/>
      <c r="M841" s="422"/>
      <c r="N841" s="422"/>
      <c r="O841" s="422"/>
      <c r="P841" s="1153"/>
    </row>
    <row r="842" spans="1:16" ht="28.5" customHeight="1">
      <c r="A842" s="442" t="s">
        <v>403</v>
      </c>
      <c r="B842" s="535" t="s">
        <v>390</v>
      </c>
      <c r="C842" s="536" t="s">
        <v>391</v>
      </c>
      <c r="D842" s="537">
        <v>331</v>
      </c>
      <c r="E842" s="538">
        <v>611100</v>
      </c>
      <c r="F842" s="626" t="s">
        <v>962</v>
      </c>
      <c r="G842" s="1154">
        <v>189000</v>
      </c>
      <c r="H842" s="1154"/>
      <c r="I842" s="1154"/>
      <c r="J842" s="1154">
        <f aca="true" t="shared" si="163" ref="J842:J852">G842+H842-I842</f>
        <v>189000</v>
      </c>
      <c r="K842" s="1154">
        <v>0</v>
      </c>
      <c r="L842" s="1154"/>
      <c r="M842" s="1154"/>
      <c r="N842" s="1154">
        <f aca="true" t="shared" si="164" ref="N842:N852">K842+L842-M842</f>
        <v>0</v>
      </c>
      <c r="O842" s="1154">
        <f aca="true" t="shared" si="165" ref="O842:O852">G842+K842</f>
        <v>189000</v>
      </c>
      <c r="P842" s="1155">
        <f aca="true" t="shared" si="166" ref="P842:P852">J842+N842</f>
        <v>189000</v>
      </c>
    </row>
    <row r="843" spans="1:16" ht="37.5" customHeight="1">
      <c r="A843" s="546" t="s">
        <v>403</v>
      </c>
      <c r="B843" s="547" t="s">
        <v>390</v>
      </c>
      <c r="C843" s="547" t="s">
        <v>391</v>
      </c>
      <c r="D843" s="537">
        <v>331</v>
      </c>
      <c r="E843" s="432">
        <v>611200</v>
      </c>
      <c r="F843" s="468" t="s">
        <v>514</v>
      </c>
      <c r="G843" s="1154">
        <v>28000</v>
      </c>
      <c r="H843" s="1154"/>
      <c r="I843" s="1154"/>
      <c r="J843" s="1154">
        <f t="shared" si="163"/>
        <v>28000</v>
      </c>
      <c r="K843" s="1154">
        <v>0</v>
      </c>
      <c r="L843" s="1154"/>
      <c r="M843" s="1154"/>
      <c r="N843" s="1154">
        <f t="shared" si="164"/>
        <v>0</v>
      </c>
      <c r="O843" s="1154">
        <f t="shared" si="165"/>
        <v>28000</v>
      </c>
      <c r="P843" s="1155">
        <f t="shared" si="166"/>
        <v>28000</v>
      </c>
    </row>
    <row r="844" spans="1:16" ht="36.75" customHeight="1">
      <c r="A844" s="546" t="s">
        <v>403</v>
      </c>
      <c r="B844" s="547" t="s">
        <v>390</v>
      </c>
      <c r="C844" s="547" t="s">
        <v>391</v>
      </c>
      <c r="D844" s="537">
        <v>331</v>
      </c>
      <c r="E844" s="435">
        <v>612000</v>
      </c>
      <c r="F844" s="468" t="s">
        <v>889</v>
      </c>
      <c r="G844" s="1154">
        <v>20500</v>
      </c>
      <c r="H844" s="1154"/>
      <c r="I844" s="1154"/>
      <c r="J844" s="1154">
        <f t="shared" si="163"/>
        <v>20500</v>
      </c>
      <c r="K844" s="1154">
        <v>0</v>
      </c>
      <c r="L844" s="1154"/>
      <c r="M844" s="1154"/>
      <c r="N844" s="1154">
        <f t="shared" si="164"/>
        <v>0</v>
      </c>
      <c r="O844" s="1154">
        <f t="shared" si="165"/>
        <v>20500</v>
      </c>
      <c r="P844" s="1155">
        <f t="shared" si="166"/>
        <v>20500</v>
      </c>
    </row>
    <row r="845" spans="1:16" ht="39.75" customHeight="1">
      <c r="A845" s="546" t="s">
        <v>403</v>
      </c>
      <c r="B845" s="547" t="s">
        <v>390</v>
      </c>
      <c r="C845" s="547" t="s">
        <v>391</v>
      </c>
      <c r="D845" s="537">
        <v>331</v>
      </c>
      <c r="E845" s="550">
        <v>613100</v>
      </c>
      <c r="F845" s="693" t="s">
        <v>515</v>
      </c>
      <c r="G845" s="1154">
        <v>2000</v>
      </c>
      <c r="H845" s="1154"/>
      <c r="I845" s="1154"/>
      <c r="J845" s="1154">
        <f t="shared" si="163"/>
        <v>2000</v>
      </c>
      <c r="K845" s="1154">
        <v>0</v>
      </c>
      <c r="L845" s="1154"/>
      <c r="M845" s="1154"/>
      <c r="N845" s="1154">
        <f t="shared" si="164"/>
        <v>0</v>
      </c>
      <c r="O845" s="1154">
        <f t="shared" si="165"/>
        <v>2000</v>
      </c>
      <c r="P845" s="1155">
        <f t="shared" si="166"/>
        <v>2000</v>
      </c>
    </row>
    <row r="846" spans="1:16" ht="36" customHeight="1">
      <c r="A846" s="546" t="s">
        <v>403</v>
      </c>
      <c r="B846" s="547" t="s">
        <v>390</v>
      </c>
      <c r="C846" s="547" t="s">
        <v>391</v>
      </c>
      <c r="D846" s="537">
        <v>331</v>
      </c>
      <c r="E846" s="550">
        <v>613210</v>
      </c>
      <c r="F846" s="693" t="s">
        <v>624</v>
      </c>
      <c r="G846" s="1154">
        <v>10000</v>
      </c>
      <c r="H846" s="1154"/>
      <c r="I846" s="1154"/>
      <c r="J846" s="1154">
        <f t="shared" si="163"/>
        <v>10000</v>
      </c>
      <c r="K846" s="1154">
        <v>0</v>
      </c>
      <c r="L846" s="1154"/>
      <c r="M846" s="1154"/>
      <c r="N846" s="1154">
        <f t="shared" si="164"/>
        <v>0</v>
      </c>
      <c r="O846" s="1154">
        <f t="shared" si="165"/>
        <v>10000</v>
      </c>
      <c r="P846" s="1155">
        <f t="shared" si="166"/>
        <v>10000</v>
      </c>
    </row>
    <row r="847" spans="1:16" ht="34.5" customHeight="1">
      <c r="A847" s="546" t="s">
        <v>403</v>
      </c>
      <c r="B847" s="547" t="s">
        <v>390</v>
      </c>
      <c r="C847" s="547" t="s">
        <v>391</v>
      </c>
      <c r="D847" s="537">
        <v>331</v>
      </c>
      <c r="E847" s="538">
        <v>613310</v>
      </c>
      <c r="F847" s="690" t="s">
        <v>616</v>
      </c>
      <c r="G847" s="1154">
        <v>2500</v>
      </c>
      <c r="H847" s="1154"/>
      <c r="I847" s="1154"/>
      <c r="J847" s="1154">
        <f t="shared" si="163"/>
        <v>2500</v>
      </c>
      <c r="K847" s="1154">
        <v>0</v>
      </c>
      <c r="L847" s="1154"/>
      <c r="M847" s="1154"/>
      <c r="N847" s="1154">
        <f t="shared" si="164"/>
        <v>0</v>
      </c>
      <c r="O847" s="1154">
        <f t="shared" si="165"/>
        <v>2500</v>
      </c>
      <c r="P847" s="1155">
        <f t="shared" si="166"/>
        <v>2500</v>
      </c>
    </row>
    <row r="848" spans="1:16" ht="33.75" customHeight="1">
      <c r="A848" s="546" t="s">
        <v>403</v>
      </c>
      <c r="B848" s="547" t="s">
        <v>390</v>
      </c>
      <c r="C848" s="547" t="s">
        <v>391</v>
      </c>
      <c r="D848" s="537">
        <v>331</v>
      </c>
      <c r="E848" s="550">
        <v>613320</v>
      </c>
      <c r="F848" s="693" t="s">
        <v>500</v>
      </c>
      <c r="G848" s="1154">
        <v>1400</v>
      </c>
      <c r="H848" s="1154"/>
      <c r="I848" s="1154"/>
      <c r="J848" s="1154">
        <f t="shared" si="163"/>
        <v>1400</v>
      </c>
      <c r="K848" s="1154">
        <v>0</v>
      </c>
      <c r="L848" s="1154"/>
      <c r="M848" s="1154"/>
      <c r="N848" s="1154">
        <f t="shared" si="164"/>
        <v>0</v>
      </c>
      <c r="O848" s="1154">
        <f t="shared" si="165"/>
        <v>1400</v>
      </c>
      <c r="P848" s="1155">
        <f t="shared" si="166"/>
        <v>1400</v>
      </c>
    </row>
    <row r="849" spans="1:16" ht="32.25" customHeight="1">
      <c r="A849" s="546" t="s">
        <v>403</v>
      </c>
      <c r="B849" s="547" t="s">
        <v>390</v>
      </c>
      <c r="C849" s="547" t="s">
        <v>391</v>
      </c>
      <c r="D849" s="537">
        <v>331</v>
      </c>
      <c r="E849" s="550">
        <v>613400</v>
      </c>
      <c r="F849" s="693" t="s">
        <v>501</v>
      </c>
      <c r="G849" s="1154">
        <v>2500</v>
      </c>
      <c r="H849" s="1154"/>
      <c r="I849" s="1154"/>
      <c r="J849" s="1154">
        <f t="shared" si="163"/>
        <v>2500</v>
      </c>
      <c r="K849" s="1154">
        <v>0</v>
      </c>
      <c r="L849" s="1154"/>
      <c r="M849" s="1154"/>
      <c r="N849" s="1154">
        <f t="shared" si="164"/>
        <v>0</v>
      </c>
      <c r="O849" s="1154">
        <f t="shared" si="165"/>
        <v>2500</v>
      </c>
      <c r="P849" s="1155">
        <f t="shared" si="166"/>
        <v>2500</v>
      </c>
    </row>
    <row r="850" spans="1:16" ht="39" customHeight="1">
      <c r="A850" s="546" t="s">
        <v>403</v>
      </c>
      <c r="B850" s="547" t="s">
        <v>390</v>
      </c>
      <c r="C850" s="547" t="s">
        <v>391</v>
      </c>
      <c r="D850" s="537">
        <v>331</v>
      </c>
      <c r="E850" s="550">
        <v>613720</v>
      </c>
      <c r="F850" s="693" t="s">
        <v>530</v>
      </c>
      <c r="G850" s="1154">
        <v>1500</v>
      </c>
      <c r="H850" s="1154"/>
      <c r="I850" s="1154"/>
      <c r="J850" s="1154">
        <f t="shared" si="163"/>
        <v>1500</v>
      </c>
      <c r="K850" s="1154">
        <v>0</v>
      </c>
      <c r="L850" s="1154"/>
      <c r="M850" s="1154"/>
      <c r="N850" s="1154">
        <f t="shared" si="164"/>
        <v>0</v>
      </c>
      <c r="O850" s="1154">
        <f t="shared" si="165"/>
        <v>1500</v>
      </c>
      <c r="P850" s="1155">
        <f t="shared" si="166"/>
        <v>1500</v>
      </c>
    </row>
    <row r="851" spans="1:16" ht="36.75" customHeight="1">
      <c r="A851" s="546" t="s">
        <v>403</v>
      </c>
      <c r="B851" s="547" t="s">
        <v>390</v>
      </c>
      <c r="C851" s="547" t="s">
        <v>391</v>
      </c>
      <c r="D851" s="537">
        <v>331</v>
      </c>
      <c r="E851" s="550">
        <v>613910</v>
      </c>
      <c r="F851" s="693" t="s">
        <v>502</v>
      </c>
      <c r="G851" s="1154">
        <v>8000</v>
      </c>
      <c r="H851" s="1154"/>
      <c r="I851" s="1154"/>
      <c r="J851" s="1154">
        <f t="shared" si="163"/>
        <v>8000</v>
      </c>
      <c r="K851" s="1154">
        <v>0</v>
      </c>
      <c r="L851" s="1154"/>
      <c r="M851" s="1154"/>
      <c r="N851" s="1154">
        <f t="shared" si="164"/>
        <v>0</v>
      </c>
      <c r="O851" s="1154">
        <f t="shared" si="165"/>
        <v>8000</v>
      </c>
      <c r="P851" s="1155">
        <f t="shared" si="166"/>
        <v>8000</v>
      </c>
    </row>
    <row r="852" spans="1:16" ht="34.5" customHeight="1">
      <c r="A852" s="1344" t="s">
        <v>403</v>
      </c>
      <c r="B852" s="1324" t="s">
        <v>390</v>
      </c>
      <c r="C852" s="1324" t="s">
        <v>391</v>
      </c>
      <c r="D852" s="1352">
        <v>331</v>
      </c>
      <c r="E852" s="1353">
        <v>613960</v>
      </c>
      <c r="F852" s="1383" t="s">
        <v>172</v>
      </c>
      <c r="G852" s="1315">
        <v>500000</v>
      </c>
      <c r="H852" s="1315"/>
      <c r="I852" s="1315">
        <v>40000</v>
      </c>
      <c r="J852" s="1315">
        <f t="shared" si="163"/>
        <v>460000</v>
      </c>
      <c r="K852" s="1315">
        <v>0</v>
      </c>
      <c r="L852" s="1315"/>
      <c r="M852" s="1315"/>
      <c r="N852" s="1315">
        <f t="shared" si="164"/>
        <v>0</v>
      </c>
      <c r="O852" s="1315">
        <f t="shared" si="165"/>
        <v>500000</v>
      </c>
      <c r="P852" s="1316">
        <f t="shared" si="166"/>
        <v>460000</v>
      </c>
    </row>
    <row r="853" spans="1:16" ht="52.5" customHeight="1">
      <c r="A853" s="459"/>
      <c r="B853" s="412"/>
      <c r="C853" s="749"/>
      <c r="D853" s="733"/>
      <c r="E853" s="448">
        <v>820000</v>
      </c>
      <c r="F853" s="751" t="s">
        <v>686</v>
      </c>
      <c r="G853" s="1158"/>
      <c r="H853" s="1158"/>
      <c r="I853" s="1158"/>
      <c r="J853" s="1158"/>
      <c r="K853" s="1158"/>
      <c r="L853" s="1158"/>
      <c r="M853" s="1158"/>
      <c r="N853" s="1158"/>
      <c r="O853" s="1158"/>
      <c r="P853" s="1159"/>
    </row>
    <row r="854" spans="1:16" ht="47.25" customHeight="1">
      <c r="A854" s="1344" t="s">
        <v>403</v>
      </c>
      <c r="B854" s="1312" t="s">
        <v>390</v>
      </c>
      <c r="C854" s="1312" t="s">
        <v>391</v>
      </c>
      <c r="D854" s="1352">
        <v>331</v>
      </c>
      <c r="E854" s="1359">
        <v>821300</v>
      </c>
      <c r="F854" s="1360" t="s">
        <v>528</v>
      </c>
      <c r="G854" s="1315">
        <v>4000</v>
      </c>
      <c r="H854" s="1315"/>
      <c r="I854" s="1315">
        <v>4000</v>
      </c>
      <c r="J854" s="1315">
        <f>G854+H854-I854</f>
        <v>0</v>
      </c>
      <c r="K854" s="1315">
        <v>0</v>
      </c>
      <c r="L854" s="1315"/>
      <c r="M854" s="1315"/>
      <c r="N854" s="1315">
        <f>K854+L854-M854</f>
        <v>0</v>
      </c>
      <c r="O854" s="1315">
        <f>G854+K854</f>
        <v>4000</v>
      </c>
      <c r="P854" s="1316">
        <f>J854+N854</f>
        <v>0</v>
      </c>
    </row>
    <row r="855" spans="1:16" ht="39.75" customHeight="1" thickBot="1">
      <c r="A855" s="539"/>
      <c r="B855" s="540"/>
      <c r="C855" s="540"/>
      <c r="D855" s="453"/>
      <c r="E855" s="735"/>
      <c r="F855" s="515" t="s">
        <v>448</v>
      </c>
      <c r="G855" s="1160">
        <f aca="true" t="shared" si="167" ref="G855:P855">SUM(G842:G854)</f>
        <v>769400</v>
      </c>
      <c r="H855" s="1160">
        <f t="shared" si="167"/>
        <v>0</v>
      </c>
      <c r="I855" s="1160">
        <f t="shared" si="167"/>
        <v>44000</v>
      </c>
      <c r="J855" s="1160">
        <f t="shared" si="167"/>
        <v>725400</v>
      </c>
      <c r="K855" s="1160">
        <f t="shared" si="167"/>
        <v>0</v>
      </c>
      <c r="L855" s="1160">
        <f t="shared" si="167"/>
        <v>0</v>
      </c>
      <c r="M855" s="1160">
        <f t="shared" si="167"/>
        <v>0</v>
      </c>
      <c r="N855" s="1160">
        <f t="shared" si="167"/>
        <v>0</v>
      </c>
      <c r="O855" s="1161">
        <f t="shared" si="167"/>
        <v>769400</v>
      </c>
      <c r="P855" s="1162">
        <f t="shared" si="167"/>
        <v>725400</v>
      </c>
    </row>
    <row r="856" spans="1:16" ht="39.75" customHeight="1">
      <c r="A856" s="552"/>
      <c r="B856" s="553"/>
      <c r="C856" s="553"/>
      <c r="D856" s="420"/>
      <c r="E856" s="737"/>
      <c r="F856" s="518" t="s">
        <v>1142</v>
      </c>
      <c r="G856" s="1175"/>
      <c r="H856" s="1175"/>
      <c r="I856" s="1175"/>
      <c r="J856" s="1175"/>
      <c r="K856" s="1175"/>
      <c r="L856" s="1175"/>
      <c r="M856" s="1175"/>
      <c r="N856" s="1175"/>
      <c r="O856" s="1175"/>
      <c r="P856" s="1176"/>
    </row>
    <row r="857" spans="1:16" ht="39.75" customHeight="1" thickBot="1">
      <c r="A857" s="552"/>
      <c r="B857" s="553"/>
      <c r="C857" s="553"/>
      <c r="D857" s="420"/>
      <c r="E857" s="737"/>
      <c r="F857" s="473" t="s">
        <v>1076</v>
      </c>
      <c r="G857" s="1177"/>
      <c r="H857" s="1177"/>
      <c r="I857" s="1177"/>
      <c r="J857" s="1177"/>
      <c r="K857" s="1177"/>
      <c r="L857" s="1177"/>
      <c r="M857" s="1177"/>
      <c r="N857" s="1177"/>
      <c r="O857" s="1177">
        <v>6</v>
      </c>
      <c r="P857" s="1178"/>
    </row>
    <row r="858" spans="1:16" ht="45" customHeight="1" thickBot="1">
      <c r="A858" s="554"/>
      <c r="B858" s="555"/>
      <c r="C858" s="555"/>
      <c r="D858" s="556"/>
      <c r="E858" s="787"/>
      <c r="F858" s="515" t="s">
        <v>834</v>
      </c>
      <c r="G858" s="1201"/>
      <c r="H858" s="1201"/>
      <c r="I858" s="1201"/>
      <c r="J858" s="1201"/>
      <c r="K858" s="1201"/>
      <c r="L858" s="1201"/>
      <c r="M858" s="1201"/>
      <c r="N858" s="1201"/>
      <c r="O858" s="1201">
        <v>11</v>
      </c>
      <c r="P858" s="1202"/>
    </row>
    <row r="859" spans="1:16" ht="273.75" customHeight="1">
      <c r="A859" s="401" t="s">
        <v>494</v>
      </c>
      <c r="B859" s="402" t="s">
        <v>495</v>
      </c>
      <c r="C859" s="403" t="s">
        <v>677</v>
      </c>
      <c r="D859" s="404" t="s">
        <v>497</v>
      </c>
      <c r="E859" s="404" t="s">
        <v>188</v>
      </c>
      <c r="F859" s="405" t="s">
        <v>496</v>
      </c>
      <c r="G859" s="813" t="s">
        <v>1322</v>
      </c>
      <c r="H859" s="813" t="s">
        <v>1324</v>
      </c>
      <c r="I859" s="813" t="s">
        <v>1325</v>
      </c>
      <c r="J859" s="813" t="s">
        <v>1326</v>
      </c>
      <c r="K859" s="813" t="s">
        <v>1323</v>
      </c>
      <c r="L859" s="813" t="s">
        <v>1327</v>
      </c>
      <c r="M859" s="813" t="s">
        <v>1328</v>
      </c>
      <c r="N859" s="813" t="s">
        <v>1329</v>
      </c>
      <c r="O859" s="1278" t="s">
        <v>1321</v>
      </c>
      <c r="P859" s="1149" t="s">
        <v>1330</v>
      </c>
    </row>
    <row r="860" spans="1:16" ht="22.5" customHeight="1">
      <c r="A860" s="1533">
        <v>0</v>
      </c>
      <c r="B860" s="1534"/>
      <c r="C860" s="1534"/>
      <c r="D860" s="409">
        <v>1</v>
      </c>
      <c r="E860" s="409">
        <v>2</v>
      </c>
      <c r="F860" s="410">
        <v>3</v>
      </c>
      <c r="G860" s="1150">
        <v>4</v>
      </c>
      <c r="H860" s="1150">
        <v>5</v>
      </c>
      <c r="I860" s="1150">
        <v>6</v>
      </c>
      <c r="J860" s="1150">
        <v>7</v>
      </c>
      <c r="K860" s="1150">
        <v>8</v>
      </c>
      <c r="L860" s="1150">
        <v>9</v>
      </c>
      <c r="M860" s="1150">
        <v>10</v>
      </c>
      <c r="N860" s="1150">
        <v>11</v>
      </c>
      <c r="O860" s="1150">
        <v>12</v>
      </c>
      <c r="P860" s="1151">
        <v>13</v>
      </c>
    </row>
    <row r="861" spans="1:16" ht="39.75" customHeight="1">
      <c r="A861" s="483" t="s">
        <v>404</v>
      </c>
      <c r="B861" s="484"/>
      <c r="C861" s="484"/>
      <c r="D861" s="413"/>
      <c r="E861" s="443"/>
      <c r="F861" s="414" t="s">
        <v>25</v>
      </c>
      <c r="G861" s="415"/>
      <c r="H861" s="415"/>
      <c r="I861" s="415"/>
      <c r="J861" s="415"/>
      <c r="K861" s="415"/>
      <c r="L861" s="415"/>
      <c r="M861" s="415"/>
      <c r="N861" s="415"/>
      <c r="O861" s="415"/>
      <c r="P861" s="1152"/>
    </row>
    <row r="862" spans="1:16" ht="42.75" customHeight="1">
      <c r="A862" s="488" t="s">
        <v>404</v>
      </c>
      <c r="B862" s="489" t="s">
        <v>390</v>
      </c>
      <c r="C862" s="489"/>
      <c r="D862" s="420"/>
      <c r="E862" s="600"/>
      <c r="F862" s="788" t="s">
        <v>26</v>
      </c>
      <c r="G862" s="422"/>
      <c r="H862" s="422"/>
      <c r="I862" s="422"/>
      <c r="J862" s="422"/>
      <c r="K862" s="422"/>
      <c r="L862" s="422"/>
      <c r="M862" s="422"/>
      <c r="N862" s="422"/>
      <c r="O862" s="422"/>
      <c r="P862" s="1153"/>
    </row>
    <row r="863" spans="1:16" ht="38.25" customHeight="1">
      <c r="A863" s="424"/>
      <c r="B863" s="425"/>
      <c r="C863" s="425"/>
      <c r="D863" s="420"/>
      <c r="E863" s="426">
        <v>610000</v>
      </c>
      <c r="F863" s="427" t="s">
        <v>529</v>
      </c>
      <c r="G863" s="422"/>
      <c r="H863" s="422"/>
      <c r="I863" s="422"/>
      <c r="J863" s="422"/>
      <c r="K863" s="422"/>
      <c r="L863" s="422"/>
      <c r="M863" s="422"/>
      <c r="N863" s="422"/>
      <c r="O863" s="422"/>
      <c r="P863" s="1153"/>
    </row>
    <row r="864" spans="1:16" ht="33.75" customHeight="1">
      <c r="A864" s="442" t="s">
        <v>404</v>
      </c>
      <c r="B864" s="535" t="s">
        <v>390</v>
      </c>
      <c r="C864" s="536" t="s">
        <v>391</v>
      </c>
      <c r="D864" s="431">
        <v>443</v>
      </c>
      <c r="E864" s="432">
        <v>611100</v>
      </c>
      <c r="F864" s="626" t="s">
        <v>962</v>
      </c>
      <c r="G864" s="1154">
        <v>441500</v>
      </c>
      <c r="H864" s="1154"/>
      <c r="I864" s="1154"/>
      <c r="J864" s="1154">
        <f aca="true" t="shared" si="168" ref="J864:J875">G864+H864-I864</f>
        <v>441500</v>
      </c>
      <c r="K864" s="1154">
        <v>0</v>
      </c>
      <c r="L864" s="1154"/>
      <c r="M864" s="1154"/>
      <c r="N864" s="1154">
        <f aca="true" t="shared" si="169" ref="N864:N875">K864+L864-M864</f>
        <v>0</v>
      </c>
      <c r="O864" s="1154">
        <f aca="true" t="shared" si="170" ref="O864:O875">G864+K864</f>
        <v>441500</v>
      </c>
      <c r="P864" s="1155">
        <f aca="true" t="shared" si="171" ref="P864:P875">J864+N864</f>
        <v>441500</v>
      </c>
    </row>
    <row r="865" spans="1:16" ht="33.75" customHeight="1">
      <c r="A865" s="546" t="s">
        <v>404</v>
      </c>
      <c r="B865" s="547" t="s">
        <v>390</v>
      </c>
      <c r="C865" s="547" t="s">
        <v>391</v>
      </c>
      <c r="D865" s="431">
        <v>443</v>
      </c>
      <c r="E865" s="432">
        <v>611200</v>
      </c>
      <c r="F865" s="468" t="s">
        <v>514</v>
      </c>
      <c r="G865" s="1154">
        <v>80000</v>
      </c>
      <c r="H865" s="1154"/>
      <c r="I865" s="1154"/>
      <c r="J865" s="1154">
        <f t="shared" si="168"/>
        <v>80000</v>
      </c>
      <c r="K865" s="1154">
        <v>0</v>
      </c>
      <c r="L865" s="1154"/>
      <c r="M865" s="1154"/>
      <c r="N865" s="1154">
        <f t="shared" si="169"/>
        <v>0</v>
      </c>
      <c r="O865" s="1154">
        <f t="shared" si="170"/>
        <v>80000</v>
      </c>
      <c r="P865" s="1155">
        <f t="shared" si="171"/>
        <v>80000</v>
      </c>
    </row>
    <row r="866" spans="1:16" ht="33.75" customHeight="1">
      <c r="A866" s="546" t="s">
        <v>404</v>
      </c>
      <c r="B866" s="547" t="s">
        <v>390</v>
      </c>
      <c r="C866" s="547" t="s">
        <v>391</v>
      </c>
      <c r="D866" s="431">
        <v>443</v>
      </c>
      <c r="E866" s="435">
        <v>612000</v>
      </c>
      <c r="F866" s="468" t="s">
        <v>889</v>
      </c>
      <c r="G866" s="1154">
        <v>47000</v>
      </c>
      <c r="H866" s="1154"/>
      <c r="I866" s="1154"/>
      <c r="J866" s="1154">
        <f t="shared" si="168"/>
        <v>47000</v>
      </c>
      <c r="K866" s="1154">
        <v>0</v>
      </c>
      <c r="L866" s="1154"/>
      <c r="M866" s="1154"/>
      <c r="N866" s="1154">
        <f t="shared" si="169"/>
        <v>0</v>
      </c>
      <c r="O866" s="1154">
        <f t="shared" si="170"/>
        <v>47000</v>
      </c>
      <c r="P866" s="1155">
        <f t="shared" si="171"/>
        <v>47000</v>
      </c>
    </row>
    <row r="867" spans="1:16" ht="33.75" customHeight="1">
      <c r="A867" s="546" t="s">
        <v>404</v>
      </c>
      <c r="B867" s="547" t="s">
        <v>390</v>
      </c>
      <c r="C867" s="547" t="s">
        <v>391</v>
      </c>
      <c r="D867" s="431">
        <v>443</v>
      </c>
      <c r="E867" s="435">
        <v>613100</v>
      </c>
      <c r="F867" s="441" t="s">
        <v>515</v>
      </c>
      <c r="G867" s="1154">
        <v>1500</v>
      </c>
      <c r="H867" s="1154"/>
      <c r="I867" s="1154"/>
      <c r="J867" s="1154">
        <f t="shared" si="168"/>
        <v>1500</v>
      </c>
      <c r="K867" s="1154">
        <v>0</v>
      </c>
      <c r="L867" s="1154"/>
      <c r="M867" s="1154"/>
      <c r="N867" s="1154">
        <f t="shared" si="169"/>
        <v>0</v>
      </c>
      <c r="O867" s="1154">
        <f t="shared" si="170"/>
        <v>1500</v>
      </c>
      <c r="P867" s="1155">
        <f t="shared" si="171"/>
        <v>1500</v>
      </c>
    </row>
    <row r="868" spans="1:16" ht="33.75" customHeight="1">
      <c r="A868" s="546" t="s">
        <v>404</v>
      </c>
      <c r="B868" s="547" t="s">
        <v>390</v>
      </c>
      <c r="C868" s="547" t="s">
        <v>391</v>
      </c>
      <c r="D868" s="431">
        <v>443</v>
      </c>
      <c r="E868" s="435">
        <v>613210</v>
      </c>
      <c r="F868" s="441" t="s">
        <v>624</v>
      </c>
      <c r="G868" s="1154">
        <v>18000</v>
      </c>
      <c r="H868" s="1154"/>
      <c r="I868" s="1154"/>
      <c r="J868" s="1154">
        <f t="shared" si="168"/>
        <v>18000</v>
      </c>
      <c r="K868" s="1154">
        <v>0</v>
      </c>
      <c r="L868" s="1154"/>
      <c r="M868" s="1154"/>
      <c r="N868" s="1154">
        <f t="shared" si="169"/>
        <v>0</v>
      </c>
      <c r="O868" s="1154">
        <f t="shared" si="170"/>
        <v>18000</v>
      </c>
      <c r="P868" s="1155">
        <f t="shared" si="171"/>
        <v>18000</v>
      </c>
    </row>
    <row r="869" spans="1:16" ht="33.75" customHeight="1">
      <c r="A869" s="546" t="s">
        <v>404</v>
      </c>
      <c r="B869" s="547" t="s">
        <v>390</v>
      </c>
      <c r="C869" s="547" t="s">
        <v>391</v>
      </c>
      <c r="D869" s="431">
        <v>443</v>
      </c>
      <c r="E869" s="538">
        <v>613310</v>
      </c>
      <c r="F869" s="690" t="s">
        <v>616</v>
      </c>
      <c r="G869" s="1154">
        <v>4000</v>
      </c>
      <c r="H869" s="1154"/>
      <c r="I869" s="1154"/>
      <c r="J869" s="1154">
        <f t="shared" si="168"/>
        <v>4000</v>
      </c>
      <c r="K869" s="1154">
        <v>0</v>
      </c>
      <c r="L869" s="1154"/>
      <c r="M869" s="1154"/>
      <c r="N869" s="1154">
        <f t="shared" si="169"/>
        <v>0</v>
      </c>
      <c r="O869" s="1154">
        <f t="shared" si="170"/>
        <v>4000</v>
      </c>
      <c r="P869" s="1155">
        <f t="shared" si="171"/>
        <v>4000</v>
      </c>
    </row>
    <row r="870" spans="1:16" ht="33.75" customHeight="1">
      <c r="A870" s="546" t="s">
        <v>404</v>
      </c>
      <c r="B870" s="547" t="s">
        <v>390</v>
      </c>
      <c r="C870" s="547" t="s">
        <v>391</v>
      </c>
      <c r="D870" s="431">
        <v>443</v>
      </c>
      <c r="E870" s="435">
        <v>613320</v>
      </c>
      <c r="F870" s="441" t="s">
        <v>500</v>
      </c>
      <c r="G870" s="1154">
        <v>3500</v>
      </c>
      <c r="H870" s="1154"/>
      <c r="I870" s="1154"/>
      <c r="J870" s="1154">
        <f t="shared" si="168"/>
        <v>3500</v>
      </c>
      <c r="K870" s="1154">
        <v>0</v>
      </c>
      <c r="L870" s="1154"/>
      <c r="M870" s="1154"/>
      <c r="N870" s="1154">
        <f t="shared" si="169"/>
        <v>0</v>
      </c>
      <c r="O870" s="1154">
        <f t="shared" si="170"/>
        <v>3500</v>
      </c>
      <c r="P870" s="1155">
        <f t="shared" si="171"/>
        <v>3500</v>
      </c>
    </row>
    <row r="871" spans="1:16" ht="33.75" customHeight="1">
      <c r="A871" s="546" t="s">
        <v>404</v>
      </c>
      <c r="B871" s="547" t="s">
        <v>390</v>
      </c>
      <c r="C871" s="547" t="s">
        <v>391</v>
      </c>
      <c r="D871" s="431">
        <v>443</v>
      </c>
      <c r="E871" s="435">
        <v>613400</v>
      </c>
      <c r="F871" s="441" t="s">
        <v>501</v>
      </c>
      <c r="G871" s="1154">
        <v>4500</v>
      </c>
      <c r="H871" s="1154"/>
      <c r="I871" s="1154"/>
      <c r="J871" s="1154">
        <f t="shared" si="168"/>
        <v>4500</v>
      </c>
      <c r="K871" s="1154">
        <v>0</v>
      </c>
      <c r="L871" s="1154"/>
      <c r="M871" s="1154"/>
      <c r="N871" s="1154">
        <f t="shared" si="169"/>
        <v>0</v>
      </c>
      <c r="O871" s="1154">
        <f t="shared" si="170"/>
        <v>4500</v>
      </c>
      <c r="P871" s="1155">
        <f t="shared" si="171"/>
        <v>4500</v>
      </c>
    </row>
    <row r="872" spans="1:16" ht="33.75" customHeight="1">
      <c r="A872" s="546" t="s">
        <v>404</v>
      </c>
      <c r="B872" s="547" t="s">
        <v>390</v>
      </c>
      <c r="C872" s="547" t="s">
        <v>391</v>
      </c>
      <c r="D872" s="431">
        <v>443</v>
      </c>
      <c r="E872" s="435">
        <v>613720</v>
      </c>
      <c r="F872" s="441" t="s">
        <v>530</v>
      </c>
      <c r="G872" s="1154">
        <v>4000</v>
      </c>
      <c r="H872" s="1154"/>
      <c r="I872" s="1154"/>
      <c r="J872" s="1154">
        <f t="shared" si="168"/>
        <v>4000</v>
      </c>
      <c r="K872" s="1154">
        <v>0</v>
      </c>
      <c r="L872" s="1154"/>
      <c r="M872" s="1154"/>
      <c r="N872" s="1154">
        <f t="shared" si="169"/>
        <v>0</v>
      </c>
      <c r="O872" s="1154">
        <f t="shared" si="170"/>
        <v>4000</v>
      </c>
      <c r="P872" s="1155">
        <f t="shared" si="171"/>
        <v>4000</v>
      </c>
    </row>
    <row r="873" spans="1:16" ht="33.75" customHeight="1">
      <c r="A873" s="546" t="s">
        <v>404</v>
      </c>
      <c r="B873" s="547" t="s">
        <v>390</v>
      </c>
      <c r="C873" s="547" t="s">
        <v>391</v>
      </c>
      <c r="D873" s="431">
        <v>443</v>
      </c>
      <c r="E873" s="435">
        <v>613910</v>
      </c>
      <c r="F873" s="441" t="s">
        <v>502</v>
      </c>
      <c r="G873" s="1154">
        <v>4000</v>
      </c>
      <c r="H873" s="1154"/>
      <c r="I873" s="1154"/>
      <c r="J873" s="1154">
        <f t="shared" si="168"/>
        <v>4000</v>
      </c>
      <c r="K873" s="1154">
        <v>0</v>
      </c>
      <c r="L873" s="1154"/>
      <c r="M873" s="1154"/>
      <c r="N873" s="1154">
        <f t="shared" si="169"/>
        <v>0</v>
      </c>
      <c r="O873" s="1154">
        <f t="shared" si="170"/>
        <v>4000</v>
      </c>
      <c r="P873" s="1155">
        <f t="shared" si="171"/>
        <v>4000</v>
      </c>
    </row>
    <row r="874" spans="1:16" ht="33.75" customHeight="1">
      <c r="A874" s="546" t="s">
        <v>404</v>
      </c>
      <c r="B874" s="547" t="s">
        <v>390</v>
      </c>
      <c r="C874" s="547" t="s">
        <v>391</v>
      </c>
      <c r="D874" s="431">
        <v>443</v>
      </c>
      <c r="E874" s="550">
        <v>613934</v>
      </c>
      <c r="F874" s="496" t="s">
        <v>540</v>
      </c>
      <c r="G874" s="1154">
        <v>10000</v>
      </c>
      <c r="H874" s="1154"/>
      <c r="I874" s="1154"/>
      <c r="J874" s="1154">
        <f t="shared" si="168"/>
        <v>10000</v>
      </c>
      <c r="K874" s="1154">
        <v>0</v>
      </c>
      <c r="L874" s="1154"/>
      <c r="M874" s="1154"/>
      <c r="N874" s="1154">
        <f t="shared" si="169"/>
        <v>0</v>
      </c>
      <c r="O874" s="1154">
        <f t="shared" si="170"/>
        <v>10000</v>
      </c>
      <c r="P874" s="1155">
        <f t="shared" si="171"/>
        <v>10000</v>
      </c>
    </row>
    <row r="875" spans="1:16" ht="33.75" customHeight="1">
      <c r="A875" s="546" t="s">
        <v>404</v>
      </c>
      <c r="B875" s="547" t="s">
        <v>390</v>
      </c>
      <c r="C875" s="547" t="s">
        <v>391</v>
      </c>
      <c r="D875" s="431">
        <v>443</v>
      </c>
      <c r="E875" s="550" t="s">
        <v>621</v>
      </c>
      <c r="F875" s="693" t="s">
        <v>517</v>
      </c>
      <c r="G875" s="1154">
        <v>4000</v>
      </c>
      <c r="H875" s="1154"/>
      <c r="I875" s="1154"/>
      <c r="J875" s="1154">
        <f t="shared" si="168"/>
        <v>4000</v>
      </c>
      <c r="K875" s="1154">
        <v>0</v>
      </c>
      <c r="L875" s="1154"/>
      <c r="M875" s="1154"/>
      <c r="N875" s="1154">
        <f t="shared" si="169"/>
        <v>0</v>
      </c>
      <c r="O875" s="1154">
        <f t="shared" si="170"/>
        <v>4000</v>
      </c>
      <c r="P875" s="1155">
        <f t="shared" si="171"/>
        <v>4000</v>
      </c>
    </row>
    <row r="876" spans="1:16" ht="33.75" customHeight="1">
      <c r="A876" s="424"/>
      <c r="B876" s="425"/>
      <c r="C876" s="772"/>
      <c r="D876" s="760"/>
      <c r="E876" s="426">
        <v>820000</v>
      </c>
      <c r="F876" s="789" t="s">
        <v>252</v>
      </c>
      <c r="G876" s="1181"/>
      <c r="H876" s="1181"/>
      <c r="I876" s="1181"/>
      <c r="J876" s="1181"/>
      <c r="K876" s="1181"/>
      <c r="L876" s="1181"/>
      <c r="M876" s="1181"/>
      <c r="N876" s="1181"/>
      <c r="O876" s="1181"/>
      <c r="P876" s="1203"/>
    </row>
    <row r="877" spans="1:16" ht="33.75" customHeight="1">
      <c r="A877" s="1344" t="s">
        <v>404</v>
      </c>
      <c r="B877" s="1345" t="s">
        <v>390</v>
      </c>
      <c r="C877" s="1346" t="s">
        <v>391</v>
      </c>
      <c r="D877" s="1339">
        <v>443</v>
      </c>
      <c r="E877" s="1313">
        <v>821300</v>
      </c>
      <c r="F877" s="1342" t="s">
        <v>528</v>
      </c>
      <c r="G877" s="1315">
        <v>10000</v>
      </c>
      <c r="H877" s="1315"/>
      <c r="I877" s="1315">
        <v>10000</v>
      </c>
      <c r="J877" s="1315">
        <f>G877+H877-I877</f>
        <v>0</v>
      </c>
      <c r="K877" s="1315">
        <v>0</v>
      </c>
      <c r="L877" s="1315"/>
      <c r="M877" s="1315"/>
      <c r="N877" s="1315">
        <f>K877+L877-M877</f>
        <v>0</v>
      </c>
      <c r="O877" s="1315">
        <f>G877+K877</f>
        <v>10000</v>
      </c>
      <c r="P877" s="1316">
        <f>J877+N877</f>
        <v>0</v>
      </c>
    </row>
    <row r="878" spans="1:16" ht="45" customHeight="1" thickBot="1">
      <c r="A878" s="451"/>
      <c r="B878" s="452"/>
      <c r="C878" s="452"/>
      <c r="D878" s="453"/>
      <c r="E878" s="790"/>
      <c r="F878" s="515" t="s">
        <v>685</v>
      </c>
      <c r="G878" s="1160">
        <f aca="true" t="shared" si="172" ref="G878:P878">SUM(G864:G877)</f>
        <v>632000</v>
      </c>
      <c r="H878" s="1160">
        <f t="shared" si="172"/>
        <v>0</v>
      </c>
      <c r="I878" s="1160">
        <f t="shared" si="172"/>
        <v>10000</v>
      </c>
      <c r="J878" s="1160">
        <f t="shared" si="172"/>
        <v>622000</v>
      </c>
      <c r="K878" s="1160">
        <f t="shared" si="172"/>
        <v>0</v>
      </c>
      <c r="L878" s="1160">
        <f t="shared" si="172"/>
        <v>0</v>
      </c>
      <c r="M878" s="1160">
        <f t="shared" si="172"/>
        <v>0</v>
      </c>
      <c r="N878" s="1160">
        <f t="shared" si="172"/>
        <v>0</v>
      </c>
      <c r="O878" s="1161">
        <f t="shared" si="172"/>
        <v>632000</v>
      </c>
      <c r="P878" s="1162">
        <f t="shared" si="172"/>
        <v>622000</v>
      </c>
    </row>
    <row r="879" spans="1:16" ht="33.75" customHeight="1">
      <c r="A879" s="424"/>
      <c r="B879" s="425"/>
      <c r="C879" s="425"/>
      <c r="D879" s="420"/>
      <c r="E879" s="600"/>
      <c r="F879" s="518" t="s">
        <v>1142</v>
      </c>
      <c r="G879" s="1175"/>
      <c r="H879" s="1175"/>
      <c r="I879" s="1175"/>
      <c r="J879" s="1175"/>
      <c r="K879" s="1175"/>
      <c r="L879" s="1175"/>
      <c r="M879" s="1175"/>
      <c r="N879" s="1175"/>
      <c r="O879" s="1175"/>
      <c r="P879" s="1176"/>
    </row>
    <row r="880" spans="1:16" ht="33.75" customHeight="1">
      <c r="A880" s="424"/>
      <c r="B880" s="425"/>
      <c r="C880" s="425"/>
      <c r="D880" s="420"/>
      <c r="E880" s="600"/>
      <c r="F880" s="473" t="s">
        <v>1076</v>
      </c>
      <c r="G880" s="1177"/>
      <c r="H880" s="1177"/>
      <c r="I880" s="1177"/>
      <c r="J880" s="1177"/>
      <c r="K880" s="1177"/>
      <c r="L880" s="1177"/>
      <c r="M880" s="1177"/>
      <c r="N880" s="1177"/>
      <c r="O880" s="1177">
        <v>19</v>
      </c>
      <c r="P880" s="1178"/>
    </row>
    <row r="881" spans="1:16" s="519" customFormat="1" ht="45" customHeight="1" thickBot="1">
      <c r="A881" s="451"/>
      <c r="B881" s="452"/>
      <c r="C881" s="452"/>
      <c r="D881" s="453"/>
      <c r="E881" s="790"/>
      <c r="F881" s="515" t="s">
        <v>834</v>
      </c>
      <c r="G881" s="1179"/>
      <c r="H881" s="1179"/>
      <c r="I881" s="1179"/>
      <c r="J881" s="1179"/>
      <c r="K881" s="1179"/>
      <c r="L881" s="1179"/>
      <c r="M881" s="1179"/>
      <c r="N881" s="1179"/>
      <c r="O881" s="1179">
        <v>26</v>
      </c>
      <c r="P881" s="1180"/>
    </row>
    <row r="882" spans="1:16" ht="43.5" customHeight="1" thickBot="1">
      <c r="A882" s="455"/>
      <c r="B882" s="455"/>
      <c r="C882" s="455"/>
      <c r="D882" s="456"/>
      <c r="E882" s="791"/>
      <c r="F882" s="792"/>
      <c r="G882" s="588"/>
      <c r="H882" s="588"/>
      <c r="I882" s="588"/>
      <c r="J882" s="588"/>
      <c r="K882" s="588"/>
      <c r="L882" s="588"/>
      <c r="M882" s="588"/>
      <c r="N882" s="588"/>
      <c r="O882" s="588"/>
      <c r="P882" s="588"/>
    </row>
    <row r="883" spans="1:16" s="527" customFormat="1" ht="282" customHeight="1">
      <c r="A883" s="401" t="s">
        <v>494</v>
      </c>
      <c r="B883" s="402" t="s">
        <v>495</v>
      </c>
      <c r="C883" s="403" t="s">
        <v>677</v>
      </c>
      <c r="D883" s="404" t="s">
        <v>497</v>
      </c>
      <c r="E883" s="404" t="s">
        <v>188</v>
      </c>
      <c r="F883" s="405" t="s">
        <v>496</v>
      </c>
      <c r="G883" s="813" t="s">
        <v>1322</v>
      </c>
      <c r="H883" s="813" t="s">
        <v>1324</v>
      </c>
      <c r="I883" s="813" t="s">
        <v>1325</v>
      </c>
      <c r="J883" s="813" t="s">
        <v>1326</v>
      </c>
      <c r="K883" s="813" t="s">
        <v>1323</v>
      </c>
      <c r="L883" s="813" t="s">
        <v>1327</v>
      </c>
      <c r="M883" s="813" t="s">
        <v>1328</v>
      </c>
      <c r="N883" s="813" t="s">
        <v>1329</v>
      </c>
      <c r="O883" s="1278" t="s">
        <v>1321</v>
      </c>
      <c r="P883" s="1149" t="s">
        <v>1330</v>
      </c>
    </row>
    <row r="884" spans="1:16" ht="27.75" customHeight="1">
      <c r="A884" s="1533">
        <v>0</v>
      </c>
      <c r="B884" s="1534"/>
      <c r="C884" s="1534"/>
      <c r="D884" s="409">
        <v>1</v>
      </c>
      <c r="E884" s="409">
        <v>2</v>
      </c>
      <c r="F884" s="410">
        <v>3</v>
      </c>
      <c r="G884" s="1150">
        <v>4</v>
      </c>
      <c r="H884" s="1150">
        <v>5</v>
      </c>
      <c r="I884" s="1150">
        <v>6</v>
      </c>
      <c r="J884" s="1150">
        <v>7</v>
      </c>
      <c r="K884" s="1150">
        <v>8</v>
      </c>
      <c r="L884" s="1150">
        <v>9</v>
      </c>
      <c r="M884" s="1150">
        <v>10</v>
      </c>
      <c r="N884" s="1150">
        <v>11</v>
      </c>
      <c r="O884" s="1150">
        <v>12</v>
      </c>
      <c r="P884" s="1151">
        <v>13</v>
      </c>
    </row>
    <row r="885" spans="1:16" ht="46.5" customHeight="1">
      <c r="A885" s="483" t="s">
        <v>164</v>
      </c>
      <c r="B885" s="484"/>
      <c r="C885" s="484"/>
      <c r="D885" s="413"/>
      <c r="E885" s="774"/>
      <c r="F885" s="601" t="s">
        <v>162</v>
      </c>
      <c r="G885" s="415"/>
      <c r="H885" s="415"/>
      <c r="I885" s="415"/>
      <c r="J885" s="415"/>
      <c r="K885" s="415"/>
      <c r="L885" s="415"/>
      <c r="M885" s="415"/>
      <c r="N885" s="415"/>
      <c r="O885" s="415"/>
      <c r="P885" s="1152"/>
    </row>
    <row r="886" spans="1:16" ht="33" customHeight="1">
      <c r="A886" s="488" t="s">
        <v>164</v>
      </c>
      <c r="B886" s="489" t="s">
        <v>390</v>
      </c>
      <c r="C886" s="489"/>
      <c r="D886" s="420"/>
      <c r="E886" s="775"/>
      <c r="F886" s="793" t="s">
        <v>163</v>
      </c>
      <c r="G886" s="422"/>
      <c r="H886" s="422"/>
      <c r="I886" s="422"/>
      <c r="J886" s="422"/>
      <c r="K886" s="422"/>
      <c r="L886" s="422"/>
      <c r="M886" s="422"/>
      <c r="N886" s="422"/>
      <c r="O886" s="422"/>
      <c r="P886" s="1153"/>
    </row>
    <row r="887" spans="1:16" ht="40.5" customHeight="1">
      <c r="A887" s="424"/>
      <c r="B887" s="425"/>
      <c r="C887" s="772"/>
      <c r="D887" s="420"/>
      <c r="E887" s="426">
        <v>610000</v>
      </c>
      <c r="F887" s="794" t="s">
        <v>359</v>
      </c>
      <c r="G887" s="422"/>
      <c r="H887" s="422"/>
      <c r="I887" s="422"/>
      <c r="J887" s="422"/>
      <c r="K887" s="422"/>
      <c r="L887" s="422"/>
      <c r="M887" s="422"/>
      <c r="N887" s="422"/>
      <c r="O887" s="422"/>
      <c r="P887" s="1153"/>
    </row>
    <row r="888" spans="1:16" ht="37.5" customHeight="1">
      <c r="A888" s="424" t="s">
        <v>164</v>
      </c>
      <c r="B888" s="425" t="s">
        <v>390</v>
      </c>
      <c r="C888" s="772" t="s">
        <v>391</v>
      </c>
      <c r="D888" s="756">
        <v>161</v>
      </c>
      <c r="E888" s="780">
        <v>611100</v>
      </c>
      <c r="F888" s="626" t="s">
        <v>962</v>
      </c>
      <c r="G888" s="1154">
        <v>105000</v>
      </c>
      <c r="H888" s="1154"/>
      <c r="I888" s="1154"/>
      <c r="J888" s="1154">
        <f aca="true" t="shared" si="173" ref="J888:J895">G888+H888-I888</f>
        <v>105000</v>
      </c>
      <c r="K888" s="1154">
        <v>0</v>
      </c>
      <c r="L888" s="1154"/>
      <c r="M888" s="1154"/>
      <c r="N888" s="1154">
        <f aca="true" t="shared" si="174" ref="N888:N895">K888+L888-M888</f>
        <v>0</v>
      </c>
      <c r="O888" s="1154">
        <f aca="true" t="shared" si="175" ref="O888:O895">G888+K888</f>
        <v>105000</v>
      </c>
      <c r="P888" s="1155">
        <f aca="true" t="shared" si="176" ref="P888:P895">J888+N888</f>
        <v>105000</v>
      </c>
    </row>
    <row r="889" spans="1:16" ht="36" customHeight="1">
      <c r="A889" s="757" t="s">
        <v>164</v>
      </c>
      <c r="B889" s="758" t="s">
        <v>390</v>
      </c>
      <c r="C889" s="758" t="s">
        <v>391</v>
      </c>
      <c r="D889" s="434">
        <v>161</v>
      </c>
      <c r="E889" s="463">
        <v>611200</v>
      </c>
      <c r="F889" s="468" t="s">
        <v>514</v>
      </c>
      <c r="G889" s="1154">
        <v>15000</v>
      </c>
      <c r="H889" s="1154"/>
      <c r="I889" s="1154"/>
      <c r="J889" s="1154">
        <f t="shared" si="173"/>
        <v>15000</v>
      </c>
      <c r="K889" s="1154">
        <v>0</v>
      </c>
      <c r="L889" s="1154"/>
      <c r="M889" s="1154"/>
      <c r="N889" s="1154">
        <f t="shared" si="174"/>
        <v>0</v>
      </c>
      <c r="O889" s="1154">
        <f t="shared" si="175"/>
        <v>15000</v>
      </c>
      <c r="P889" s="1155">
        <f t="shared" si="176"/>
        <v>15000</v>
      </c>
    </row>
    <row r="890" spans="1:16" ht="36" customHeight="1">
      <c r="A890" s="757" t="s">
        <v>164</v>
      </c>
      <c r="B890" s="758" t="s">
        <v>390</v>
      </c>
      <c r="C890" s="758" t="s">
        <v>391</v>
      </c>
      <c r="D890" s="434">
        <v>161</v>
      </c>
      <c r="E890" s="435">
        <v>612000</v>
      </c>
      <c r="F890" s="468" t="s">
        <v>889</v>
      </c>
      <c r="G890" s="1154">
        <v>11500</v>
      </c>
      <c r="H890" s="1154"/>
      <c r="I890" s="1154"/>
      <c r="J890" s="1154">
        <f t="shared" si="173"/>
        <v>11500</v>
      </c>
      <c r="K890" s="1154">
        <v>0</v>
      </c>
      <c r="L890" s="1154"/>
      <c r="M890" s="1154"/>
      <c r="N890" s="1154">
        <f t="shared" si="174"/>
        <v>0</v>
      </c>
      <c r="O890" s="1154">
        <f t="shared" si="175"/>
        <v>11500</v>
      </c>
      <c r="P890" s="1155">
        <f t="shared" si="176"/>
        <v>11500</v>
      </c>
    </row>
    <row r="891" spans="1:16" ht="30.75" customHeight="1">
      <c r="A891" s="941" t="s">
        <v>164</v>
      </c>
      <c r="B891" s="942" t="s">
        <v>390</v>
      </c>
      <c r="C891" s="942" t="s">
        <v>391</v>
      </c>
      <c r="D891" s="868">
        <v>161</v>
      </c>
      <c r="E891" s="847">
        <v>613100</v>
      </c>
      <c r="F891" s="628" t="s">
        <v>515</v>
      </c>
      <c r="G891" s="1154">
        <v>2000</v>
      </c>
      <c r="H891" s="1154"/>
      <c r="I891" s="1154"/>
      <c r="J891" s="1154">
        <f t="shared" si="173"/>
        <v>2000</v>
      </c>
      <c r="K891" s="1154">
        <v>0</v>
      </c>
      <c r="L891" s="1154"/>
      <c r="M891" s="1154"/>
      <c r="N891" s="1154">
        <f t="shared" si="174"/>
        <v>0</v>
      </c>
      <c r="O891" s="1154">
        <f t="shared" si="175"/>
        <v>2000</v>
      </c>
      <c r="P891" s="1155">
        <f t="shared" si="176"/>
        <v>2000</v>
      </c>
    </row>
    <row r="892" spans="1:16" ht="30.75" customHeight="1">
      <c r="A892" s="941" t="s">
        <v>164</v>
      </c>
      <c r="B892" s="942" t="s">
        <v>390</v>
      </c>
      <c r="C892" s="942" t="s">
        <v>391</v>
      </c>
      <c r="D892" s="868">
        <v>161</v>
      </c>
      <c r="E892" s="692">
        <v>613310</v>
      </c>
      <c r="F892" s="762" t="s">
        <v>616</v>
      </c>
      <c r="G892" s="1154">
        <v>1500</v>
      </c>
      <c r="H892" s="1154"/>
      <c r="I892" s="1154"/>
      <c r="J892" s="1154">
        <f t="shared" si="173"/>
        <v>1500</v>
      </c>
      <c r="K892" s="1154">
        <v>0</v>
      </c>
      <c r="L892" s="1154"/>
      <c r="M892" s="1154"/>
      <c r="N892" s="1154">
        <f t="shared" si="174"/>
        <v>0</v>
      </c>
      <c r="O892" s="1154">
        <f t="shared" si="175"/>
        <v>1500</v>
      </c>
      <c r="P892" s="1155">
        <f t="shared" si="176"/>
        <v>1500</v>
      </c>
    </row>
    <row r="893" spans="1:16" ht="30.75" customHeight="1">
      <c r="A893" s="941" t="s">
        <v>164</v>
      </c>
      <c r="B893" s="942" t="s">
        <v>390</v>
      </c>
      <c r="C893" s="942" t="s">
        <v>391</v>
      </c>
      <c r="D893" s="868">
        <v>161</v>
      </c>
      <c r="E893" s="847">
        <v>613400</v>
      </c>
      <c r="F893" s="628" t="s">
        <v>501</v>
      </c>
      <c r="G893" s="1154">
        <v>1400</v>
      </c>
      <c r="H893" s="1154"/>
      <c r="I893" s="1154"/>
      <c r="J893" s="1154">
        <f t="shared" si="173"/>
        <v>1400</v>
      </c>
      <c r="K893" s="1154">
        <v>0</v>
      </c>
      <c r="L893" s="1154"/>
      <c r="M893" s="1154"/>
      <c r="N893" s="1154">
        <f t="shared" si="174"/>
        <v>0</v>
      </c>
      <c r="O893" s="1154">
        <f t="shared" si="175"/>
        <v>1400</v>
      </c>
      <c r="P893" s="1155">
        <f t="shared" si="176"/>
        <v>1400</v>
      </c>
    </row>
    <row r="894" spans="1:16" ht="30.75" customHeight="1">
      <c r="A894" s="941" t="s">
        <v>164</v>
      </c>
      <c r="B894" s="942" t="s">
        <v>390</v>
      </c>
      <c r="C894" s="942" t="s">
        <v>391</v>
      </c>
      <c r="D894" s="868">
        <v>161</v>
      </c>
      <c r="E894" s="847">
        <v>613720</v>
      </c>
      <c r="F894" s="628" t="s">
        <v>511</v>
      </c>
      <c r="G894" s="1154">
        <v>500</v>
      </c>
      <c r="H894" s="1154"/>
      <c r="I894" s="1154"/>
      <c r="J894" s="1154">
        <f t="shared" si="173"/>
        <v>500</v>
      </c>
      <c r="K894" s="1154">
        <v>0</v>
      </c>
      <c r="L894" s="1154"/>
      <c r="M894" s="1154"/>
      <c r="N894" s="1154">
        <f t="shared" si="174"/>
        <v>0</v>
      </c>
      <c r="O894" s="1154">
        <f t="shared" si="175"/>
        <v>500</v>
      </c>
      <c r="P894" s="1155">
        <f t="shared" si="176"/>
        <v>500</v>
      </c>
    </row>
    <row r="895" spans="1:16" ht="33" customHeight="1">
      <c r="A895" s="941" t="s">
        <v>164</v>
      </c>
      <c r="B895" s="942" t="s">
        <v>390</v>
      </c>
      <c r="C895" s="942" t="s">
        <v>391</v>
      </c>
      <c r="D895" s="868">
        <v>161</v>
      </c>
      <c r="E895" s="847">
        <v>613910</v>
      </c>
      <c r="F895" s="628" t="s">
        <v>502</v>
      </c>
      <c r="G895" s="1154">
        <v>3000</v>
      </c>
      <c r="H895" s="1154"/>
      <c r="I895" s="1154"/>
      <c r="J895" s="1154">
        <f t="shared" si="173"/>
        <v>3000</v>
      </c>
      <c r="K895" s="1154">
        <v>0</v>
      </c>
      <c r="L895" s="1154"/>
      <c r="M895" s="1154"/>
      <c r="N895" s="1154">
        <f t="shared" si="174"/>
        <v>0</v>
      </c>
      <c r="O895" s="1154">
        <f t="shared" si="175"/>
        <v>3000</v>
      </c>
      <c r="P895" s="1155">
        <f t="shared" si="176"/>
        <v>3000</v>
      </c>
    </row>
    <row r="896" spans="1:16" ht="42.75" customHeight="1">
      <c r="A896" s="641"/>
      <c r="B896" s="618"/>
      <c r="C896" s="618"/>
      <c r="D896" s="618"/>
      <c r="E896" s="623">
        <v>820000</v>
      </c>
      <c r="F896" s="894" t="s">
        <v>252</v>
      </c>
      <c r="G896" s="1184"/>
      <c r="H896" s="1184"/>
      <c r="I896" s="1184"/>
      <c r="J896" s="1184"/>
      <c r="K896" s="1184"/>
      <c r="L896" s="1184"/>
      <c r="M896" s="1184"/>
      <c r="N896" s="1184"/>
      <c r="O896" s="1184"/>
      <c r="P896" s="1185"/>
    </row>
    <row r="897" spans="1:16" ht="38.25" customHeight="1">
      <c r="A897" s="1323" t="s">
        <v>164</v>
      </c>
      <c r="B897" s="1369" t="s">
        <v>390</v>
      </c>
      <c r="C897" s="1369" t="s">
        <v>391</v>
      </c>
      <c r="D897" s="1339">
        <v>161</v>
      </c>
      <c r="E897" s="1313">
        <v>821300</v>
      </c>
      <c r="F897" s="1342" t="s">
        <v>528</v>
      </c>
      <c r="G897" s="1315">
        <v>200</v>
      </c>
      <c r="H897" s="1315"/>
      <c r="I897" s="1315">
        <v>200</v>
      </c>
      <c r="J897" s="1315">
        <f>G897+H897-I897</f>
        <v>0</v>
      </c>
      <c r="K897" s="1315">
        <v>0</v>
      </c>
      <c r="L897" s="1315"/>
      <c r="M897" s="1315"/>
      <c r="N897" s="1315">
        <f>K897+L897-M897</f>
        <v>0</v>
      </c>
      <c r="O897" s="1315">
        <f>G897+K897</f>
        <v>200</v>
      </c>
      <c r="P897" s="1316">
        <f>J897+N897</f>
        <v>0</v>
      </c>
    </row>
    <row r="898" spans="1:16" ht="43.5" customHeight="1" thickBot="1">
      <c r="A898" s="539"/>
      <c r="B898" s="540"/>
      <c r="C898" s="540"/>
      <c r="D898" s="453"/>
      <c r="E898" s="453"/>
      <c r="F898" s="754" t="s">
        <v>165</v>
      </c>
      <c r="G898" s="1160">
        <f aca="true" t="shared" si="177" ref="G898:P898">SUM(G888:G897)</f>
        <v>140100</v>
      </c>
      <c r="H898" s="1160">
        <f t="shared" si="177"/>
        <v>0</v>
      </c>
      <c r="I898" s="1160">
        <f t="shared" si="177"/>
        <v>200</v>
      </c>
      <c r="J898" s="1160">
        <f t="shared" si="177"/>
        <v>139900</v>
      </c>
      <c r="K898" s="1160">
        <f t="shared" si="177"/>
        <v>0</v>
      </c>
      <c r="L898" s="1160">
        <f t="shared" si="177"/>
        <v>0</v>
      </c>
      <c r="M898" s="1160">
        <f t="shared" si="177"/>
        <v>0</v>
      </c>
      <c r="N898" s="1160">
        <f t="shared" si="177"/>
        <v>0</v>
      </c>
      <c r="O898" s="1161">
        <f t="shared" si="177"/>
        <v>140100</v>
      </c>
      <c r="P898" s="1162">
        <f t="shared" si="177"/>
        <v>139900</v>
      </c>
    </row>
    <row r="899" spans="1:16" ht="43.5" customHeight="1">
      <c r="A899" s="602"/>
      <c r="B899" s="603"/>
      <c r="C899" s="603"/>
      <c r="D899" s="604"/>
      <c r="E899" s="604"/>
      <c r="F899" s="518" t="s">
        <v>1142</v>
      </c>
      <c r="G899" s="1175"/>
      <c r="H899" s="1175"/>
      <c r="I899" s="1175"/>
      <c r="J899" s="1175"/>
      <c r="K899" s="1175"/>
      <c r="L899" s="1175"/>
      <c r="M899" s="1175"/>
      <c r="N899" s="1175"/>
      <c r="O899" s="1175"/>
      <c r="P899" s="1176"/>
    </row>
    <row r="900" spans="1:16" ht="43.5" customHeight="1">
      <c r="A900" s="552"/>
      <c r="B900" s="553"/>
      <c r="C900" s="553"/>
      <c r="D900" s="420"/>
      <c r="E900" s="420"/>
      <c r="F900" s="473" t="s">
        <v>1076</v>
      </c>
      <c r="G900" s="1177"/>
      <c r="H900" s="1177"/>
      <c r="I900" s="1177"/>
      <c r="J900" s="1177"/>
      <c r="K900" s="1177"/>
      <c r="L900" s="1177"/>
      <c r="M900" s="1177"/>
      <c r="N900" s="1177"/>
      <c r="O900" s="1177">
        <v>3</v>
      </c>
      <c r="P900" s="1178"/>
    </row>
    <row r="901" spans="1:16" s="423" customFormat="1" ht="42.75" customHeight="1" thickBot="1">
      <c r="A901" s="585"/>
      <c r="B901" s="475"/>
      <c r="C901" s="475"/>
      <c r="D901" s="477"/>
      <c r="E901" s="477"/>
      <c r="F901" s="515" t="s">
        <v>834</v>
      </c>
      <c r="G901" s="1201"/>
      <c r="H901" s="1201"/>
      <c r="I901" s="1201"/>
      <c r="J901" s="1201"/>
      <c r="K901" s="1201"/>
      <c r="L901" s="1201"/>
      <c r="M901" s="1201"/>
      <c r="N901" s="1201"/>
      <c r="O901" s="1201">
        <v>4</v>
      </c>
      <c r="P901" s="1202"/>
    </row>
    <row r="902" spans="1:16" s="1018" customFormat="1" ht="42.75" customHeight="1" thickBot="1">
      <c r="A902" s="1014"/>
      <c r="B902" s="1014"/>
      <c r="C902" s="1014"/>
      <c r="D902" s="1015"/>
      <c r="E902" s="1015"/>
      <c r="F902" s="1016"/>
      <c r="G902" s="1017"/>
      <c r="H902" s="1017"/>
      <c r="I902" s="1017"/>
      <c r="J902" s="1017"/>
      <c r="K902" s="1017"/>
      <c r="L902" s="1017"/>
      <c r="M902" s="1017"/>
      <c r="N902" s="1017"/>
      <c r="O902" s="1017"/>
      <c r="P902" s="1017"/>
    </row>
    <row r="903" spans="1:16" s="1018" customFormat="1" ht="308.25" customHeight="1">
      <c r="A903" s="401" t="s">
        <v>494</v>
      </c>
      <c r="B903" s="402" t="s">
        <v>495</v>
      </c>
      <c r="C903" s="403" t="s">
        <v>687</v>
      </c>
      <c r="D903" s="404" t="s">
        <v>497</v>
      </c>
      <c r="E903" s="404" t="s">
        <v>188</v>
      </c>
      <c r="F903" s="405" t="s">
        <v>496</v>
      </c>
      <c r="G903" s="813" t="s">
        <v>1322</v>
      </c>
      <c r="H903" s="813" t="s">
        <v>1324</v>
      </c>
      <c r="I903" s="813" t="s">
        <v>1325</v>
      </c>
      <c r="J903" s="813" t="s">
        <v>1326</v>
      </c>
      <c r="K903" s="813" t="s">
        <v>1323</v>
      </c>
      <c r="L903" s="813" t="s">
        <v>1327</v>
      </c>
      <c r="M903" s="813" t="s">
        <v>1328</v>
      </c>
      <c r="N903" s="813" t="s">
        <v>1329</v>
      </c>
      <c r="O903" s="1278" t="s">
        <v>1321</v>
      </c>
      <c r="P903" s="1149" t="s">
        <v>1330</v>
      </c>
    </row>
    <row r="904" spans="1:16" s="1018" customFormat="1" ht="27.75" customHeight="1">
      <c r="A904" s="1533">
        <v>0</v>
      </c>
      <c r="B904" s="1534"/>
      <c r="C904" s="1534"/>
      <c r="D904" s="409">
        <v>1</v>
      </c>
      <c r="E904" s="409">
        <v>2</v>
      </c>
      <c r="F904" s="410">
        <v>3</v>
      </c>
      <c r="G904" s="1150">
        <v>4</v>
      </c>
      <c r="H904" s="1150">
        <v>5</v>
      </c>
      <c r="I904" s="1150">
        <v>6</v>
      </c>
      <c r="J904" s="1150">
        <v>7</v>
      </c>
      <c r="K904" s="1150">
        <v>8</v>
      </c>
      <c r="L904" s="1150">
        <v>9</v>
      </c>
      <c r="M904" s="1150">
        <v>10</v>
      </c>
      <c r="N904" s="1150">
        <v>11</v>
      </c>
      <c r="O904" s="1150">
        <v>12</v>
      </c>
      <c r="P904" s="1151">
        <v>13</v>
      </c>
    </row>
    <row r="905" spans="1:16" s="1018" customFormat="1" ht="54.75" customHeight="1">
      <c r="A905" s="824" t="s">
        <v>1019</v>
      </c>
      <c r="B905" s="484"/>
      <c r="C905" s="484"/>
      <c r="D905" s="614"/>
      <c r="E905" s="614"/>
      <c r="F905" s="615" t="s">
        <v>1017</v>
      </c>
      <c r="G905" s="415"/>
      <c r="H905" s="415"/>
      <c r="I905" s="415"/>
      <c r="J905" s="415"/>
      <c r="K905" s="415"/>
      <c r="L905" s="415"/>
      <c r="M905" s="415"/>
      <c r="N905" s="415"/>
      <c r="O905" s="415"/>
      <c r="P905" s="1152"/>
    </row>
    <row r="906" spans="1:16" s="1018" customFormat="1" ht="42.75" customHeight="1">
      <c r="A906" s="825" t="s">
        <v>1019</v>
      </c>
      <c r="B906" s="489" t="s">
        <v>390</v>
      </c>
      <c r="C906" s="489"/>
      <c r="D906" s="618"/>
      <c r="E906" s="618"/>
      <c r="F906" s="1047" t="s">
        <v>1018</v>
      </c>
      <c r="G906" s="422"/>
      <c r="H906" s="422"/>
      <c r="I906" s="422"/>
      <c r="J906" s="422"/>
      <c r="K906" s="422"/>
      <c r="L906" s="422"/>
      <c r="M906" s="422"/>
      <c r="N906" s="422"/>
      <c r="O906" s="422"/>
      <c r="P906" s="1153"/>
    </row>
    <row r="907" spans="1:16" s="1018" customFormat="1" ht="42.75" customHeight="1">
      <c r="A907" s="424"/>
      <c r="B907" s="425"/>
      <c r="C907" s="425"/>
      <c r="D907" s="622"/>
      <c r="E907" s="623">
        <v>610000</v>
      </c>
      <c r="F907" s="761" t="s">
        <v>513</v>
      </c>
      <c r="G907" s="422"/>
      <c r="H907" s="422"/>
      <c r="I907" s="422"/>
      <c r="J907" s="422"/>
      <c r="K907" s="422"/>
      <c r="L907" s="422"/>
      <c r="M907" s="422"/>
      <c r="N907" s="422"/>
      <c r="O907" s="422"/>
      <c r="P907" s="1153"/>
    </row>
    <row r="908" spans="1:16" s="1018" customFormat="1" ht="42.75" customHeight="1">
      <c r="A908" s="873" t="s">
        <v>1019</v>
      </c>
      <c r="B908" s="595" t="s">
        <v>390</v>
      </c>
      <c r="C908" s="691" t="s">
        <v>391</v>
      </c>
      <c r="D908" s="870">
        <v>861</v>
      </c>
      <c r="E908" s="596">
        <v>611100</v>
      </c>
      <c r="F908" s="626" t="s">
        <v>962</v>
      </c>
      <c r="G908" s="1154">
        <v>202500</v>
      </c>
      <c r="H908" s="1154"/>
      <c r="I908" s="1154"/>
      <c r="J908" s="1154">
        <f aca="true" t="shared" si="178" ref="J908:J936">G908+H908-I908</f>
        <v>202500</v>
      </c>
      <c r="K908" s="1154">
        <v>0</v>
      </c>
      <c r="L908" s="1154"/>
      <c r="M908" s="1154"/>
      <c r="N908" s="1154">
        <f aca="true" t="shared" si="179" ref="N908:N936">K908+L908-M908</f>
        <v>0</v>
      </c>
      <c r="O908" s="1154">
        <f aca="true" t="shared" si="180" ref="O908:O936">G908+K908</f>
        <v>202500</v>
      </c>
      <c r="P908" s="1155">
        <f aca="true" t="shared" si="181" ref="P908:P936">J908+N908</f>
        <v>202500</v>
      </c>
    </row>
    <row r="909" spans="1:16" s="1018" customFormat="1" ht="36.75" customHeight="1">
      <c r="A909" s="873" t="s">
        <v>1019</v>
      </c>
      <c r="B909" s="595" t="s">
        <v>390</v>
      </c>
      <c r="C909" s="691" t="s">
        <v>391</v>
      </c>
      <c r="D909" s="870">
        <v>861</v>
      </c>
      <c r="E909" s="596">
        <v>611200</v>
      </c>
      <c r="F909" s="598" t="s">
        <v>514</v>
      </c>
      <c r="G909" s="1154">
        <v>43000</v>
      </c>
      <c r="H909" s="1154"/>
      <c r="I909" s="1154"/>
      <c r="J909" s="1154">
        <f t="shared" si="178"/>
        <v>43000</v>
      </c>
      <c r="K909" s="1154">
        <v>0</v>
      </c>
      <c r="L909" s="1154"/>
      <c r="M909" s="1154"/>
      <c r="N909" s="1154">
        <f t="shared" si="179"/>
        <v>0</v>
      </c>
      <c r="O909" s="1154">
        <f t="shared" si="180"/>
        <v>43000</v>
      </c>
      <c r="P909" s="1155">
        <f t="shared" si="181"/>
        <v>43000</v>
      </c>
    </row>
    <row r="910" spans="1:16" s="1018" customFormat="1" ht="36.75" customHeight="1">
      <c r="A910" s="873" t="s">
        <v>1019</v>
      </c>
      <c r="B910" s="595" t="s">
        <v>390</v>
      </c>
      <c r="C910" s="691" t="s">
        <v>391</v>
      </c>
      <c r="D910" s="870">
        <v>861</v>
      </c>
      <c r="E910" s="464">
        <v>612000</v>
      </c>
      <c r="F910" s="943" t="s">
        <v>889</v>
      </c>
      <c r="G910" s="1154">
        <v>24000</v>
      </c>
      <c r="H910" s="1154"/>
      <c r="I910" s="1154"/>
      <c r="J910" s="1154">
        <f t="shared" si="178"/>
        <v>24000</v>
      </c>
      <c r="K910" s="1154">
        <v>0</v>
      </c>
      <c r="L910" s="1154"/>
      <c r="M910" s="1154"/>
      <c r="N910" s="1154">
        <f t="shared" si="179"/>
        <v>0</v>
      </c>
      <c r="O910" s="1154">
        <f t="shared" si="180"/>
        <v>24000</v>
      </c>
      <c r="P910" s="1155">
        <f t="shared" si="181"/>
        <v>24000</v>
      </c>
    </row>
    <row r="911" spans="1:16" s="1018" customFormat="1" ht="35.25" customHeight="1">
      <c r="A911" s="873" t="s">
        <v>1019</v>
      </c>
      <c r="B911" s="595" t="s">
        <v>390</v>
      </c>
      <c r="C911" s="691" t="s">
        <v>391</v>
      </c>
      <c r="D911" s="870">
        <v>861</v>
      </c>
      <c r="E911" s="464">
        <v>613100</v>
      </c>
      <c r="F911" s="598" t="s">
        <v>515</v>
      </c>
      <c r="G911" s="1154">
        <v>2000</v>
      </c>
      <c r="H911" s="1154"/>
      <c r="I911" s="1154"/>
      <c r="J911" s="1154">
        <f t="shared" si="178"/>
        <v>2000</v>
      </c>
      <c r="K911" s="1154">
        <v>0</v>
      </c>
      <c r="L911" s="1154"/>
      <c r="M911" s="1154"/>
      <c r="N911" s="1154">
        <f t="shared" si="179"/>
        <v>0</v>
      </c>
      <c r="O911" s="1154">
        <f t="shared" si="180"/>
        <v>2000</v>
      </c>
      <c r="P911" s="1155">
        <f t="shared" si="181"/>
        <v>2000</v>
      </c>
    </row>
    <row r="912" spans="1:16" s="1018" customFormat="1" ht="32.25" customHeight="1">
      <c r="A912" s="873" t="s">
        <v>1019</v>
      </c>
      <c r="B912" s="595" t="s">
        <v>390</v>
      </c>
      <c r="C912" s="691" t="s">
        <v>391</v>
      </c>
      <c r="D912" s="870">
        <v>861</v>
      </c>
      <c r="E912" s="464">
        <v>613310</v>
      </c>
      <c r="F912" s="465" t="s">
        <v>616</v>
      </c>
      <c r="G912" s="1154">
        <v>3000</v>
      </c>
      <c r="H912" s="1154"/>
      <c r="I912" s="1154"/>
      <c r="J912" s="1154">
        <f t="shared" si="178"/>
        <v>3000</v>
      </c>
      <c r="K912" s="1154">
        <v>0</v>
      </c>
      <c r="L912" s="1154"/>
      <c r="M912" s="1154"/>
      <c r="N912" s="1154">
        <f t="shared" si="179"/>
        <v>0</v>
      </c>
      <c r="O912" s="1154">
        <f t="shared" si="180"/>
        <v>3000</v>
      </c>
      <c r="P912" s="1155">
        <f t="shared" si="181"/>
        <v>3000</v>
      </c>
    </row>
    <row r="913" spans="1:16" s="1018" customFormat="1" ht="33.75" customHeight="1">
      <c r="A913" s="873" t="s">
        <v>1019</v>
      </c>
      <c r="B913" s="595" t="s">
        <v>390</v>
      </c>
      <c r="C913" s="691" t="s">
        <v>391</v>
      </c>
      <c r="D913" s="870">
        <v>861</v>
      </c>
      <c r="E913" s="464">
        <v>613400</v>
      </c>
      <c r="F913" s="598" t="s">
        <v>501</v>
      </c>
      <c r="G913" s="1154">
        <v>4000</v>
      </c>
      <c r="H913" s="1154"/>
      <c r="I913" s="1154"/>
      <c r="J913" s="1154">
        <f t="shared" si="178"/>
        <v>4000</v>
      </c>
      <c r="K913" s="1154">
        <v>0</v>
      </c>
      <c r="L913" s="1154"/>
      <c r="M913" s="1154"/>
      <c r="N913" s="1154">
        <f t="shared" si="179"/>
        <v>0</v>
      </c>
      <c r="O913" s="1154">
        <f t="shared" si="180"/>
        <v>4000</v>
      </c>
      <c r="P913" s="1155">
        <f t="shared" si="181"/>
        <v>4000</v>
      </c>
    </row>
    <row r="914" spans="1:16" s="1018" customFormat="1" ht="35.25" customHeight="1">
      <c r="A914" s="873" t="s">
        <v>1019</v>
      </c>
      <c r="B914" s="595" t="s">
        <v>390</v>
      </c>
      <c r="C914" s="691" t="s">
        <v>391</v>
      </c>
      <c r="D914" s="870">
        <v>861</v>
      </c>
      <c r="E914" s="464">
        <v>613720</v>
      </c>
      <c r="F914" s="598" t="s">
        <v>530</v>
      </c>
      <c r="G914" s="1154">
        <v>1000</v>
      </c>
      <c r="H914" s="1154"/>
      <c r="I914" s="1154"/>
      <c r="J914" s="1154">
        <f t="shared" si="178"/>
        <v>1000</v>
      </c>
      <c r="K914" s="1154">
        <v>0</v>
      </c>
      <c r="L914" s="1154"/>
      <c r="M914" s="1154"/>
      <c r="N914" s="1154">
        <f t="shared" si="179"/>
        <v>0</v>
      </c>
      <c r="O914" s="1154">
        <f t="shared" si="180"/>
        <v>1000</v>
      </c>
      <c r="P914" s="1155">
        <f t="shared" si="181"/>
        <v>1000</v>
      </c>
    </row>
    <row r="915" spans="1:16" s="1018" customFormat="1" ht="35.25" customHeight="1">
      <c r="A915" s="873" t="s">
        <v>1019</v>
      </c>
      <c r="B915" s="595" t="s">
        <v>390</v>
      </c>
      <c r="C915" s="691" t="s">
        <v>391</v>
      </c>
      <c r="D915" s="870">
        <v>861</v>
      </c>
      <c r="E915" s="464">
        <v>613910</v>
      </c>
      <c r="F915" s="598" t="s">
        <v>502</v>
      </c>
      <c r="G915" s="1154">
        <v>3000</v>
      </c>
      <c r="H915" s="1154"/>
      <c r="I915" s="1154"/>
      <c r="J915" s="1154">
        <f t="shared" si="178"/>
        <v>3000</v>
      </c>
      <c r="K915" s="1154">
        <v>0</v>
      </c>
      <c r="L915" s="1154"/>
      <c r="M915" s="1154"/>
      <c r="N915" s="1154">
        <f t="shared" si="179"/>
        <v>0</v>
      </c>
      <c r="O915" s="1154">
        <f t="shared" si="180"/>
        <v>3000</v>
      </c>
      <c r="P915" s="1155">
        <f t="shared" si="181"/>
        <v>3000</v>
      </c>
    </row>
    <row r="916" spans="1:16" s="1018" customFormat="1" ht="32.25" customHeight="1">
      <c r="A916" s="873" t="s">
        <v>1019</v>
      </c>
      <c r="B916" s="595" t="s">
        <v>390</v>
      </c>
      <c r="C916" s="691" t="s">
        <v>391</v>
      </c>
      <c r="D916" s="870">
        <v>861</v>
      </c>
      <c r="E916" s="580" t="s">
        <v>621</v>
      </c>
      <c r="F916" s="578" t="s">
        <v>532</v>
      </c>
      <c r="G916" s="1154">
        <v>2000</v>
      </c>
      <c r="H916" s="1154"/>
      <c r="I916" s="1154"/>
      <c r="J916" s="1154">
        <f t="shared" si="178"/>
        <v>2000</v>
      </c>
      <c r="K916" s="1154">
        <v>0</v>
      </c>
      <c r="L916" s="1154"/>
      <c r="M916" s="1154"/>
      <c r="N916" s="1154">
        <f t="shared" si="179"/>
        <v>0</v>
      </c>
      <c r="O916" s="1154">
        <f t="shared" si="180"/>
        <v>2000</v>
      </c>
      <c r="P916" s="1155">
        <f t="shared" si="181"/>
        <v>2000</v>
      </c>
    </row>
    <row r="917" spans="1:16" s="1018" customFormat="1" ht="57.75" customHeight="1">
      <c r="A917" s="873" t="s">
        <v>1019</v>
      </c>
      <c r="B917" s="571" t="s">
        <v>390</v>
      </c>
      <c r="C917" s="572" t="s">
        <v>391</v>
      </c>
      <c r="D917" s="568">
        <v>821</v>
      </c>
      <c r="E917" s="506" t="s">
        <v>622</v>
      </c>
      <c r="F917" s="569" t="s">
        <v>389</v>
      </c>
      <c r="G917" s="1156">
        <v>10000</v>
      </c>
      <c r="H917" s="1156"/>
      <c r="I917" s="1156"/>
      <c r="J917" s="1154">
        <f t="shared" si="178"/>
        <v>10000</v>
      </c>
      <c r="K917" s="1156">
        <v>0</v>
      </c>
      <c r="L917" s="1156"/>
      <c r="M917" s="1156"/>
      <c r="N917" s="1154">
        <f t="shared" si="179"/>
        <v>0</v>
      </c>
      <c r="O917" s="1156">
        <f t="shared" si="180"/>
        <v>10000</v>
      </c>
      <c r="P917" s="1155">
        <f t="shared" si="181"/>
        <v>10000</v>
      </c>
    </row>
    <row r="918" spans="1:16" s="1018" customFormat="1" ht="59.25" customHeight="1">
      <c r="A918" s="873" t="s">
        <v>1019</v>
      </c>
      <c r="B918" s="571" t="s">
        <v>390</v>
      </c>
      <c r="C918" s="572" t="s">
        <v>391</v>
      </c>
      <c r="D918" s="568">
        <v>821</v>
      </c>
      <c r="E918" s="506" t="s">
        <v>313</v>
      </c>
      <c r="F918" s="507" t="s">
        <v>45</v>
      </c>
      <c r="G918" s="1156">
        <v>5000</v>
      </c>
      <c r="H918" s="1156"/>
      <c r="I918" s="1156"/>
      <c r="J918" s="1154">
        <f t="shared" si="178"/>
        <v>5000</v>
      </c>
      <c r="K918" s="1156">
        <v>0</v>
      </c>
      <c r="L918" s="1156"/>
      <c r="M918" s="1156"/>
      <c r="N918" s="1154">
        <f t="shared" si="179"/>
        <v>0</v>
      </c>
      <c r="O918" s="1156">
        <f t="shared" si="180"/>
        <v>5000</v>
      </c>
      <c r="P918" s="1155">
        <f t="shared" si="181"/>
        <v>5000</v>
      </c>
    </row>
    <row r="919" spans="1:16" s="1018" customFormat="1" ht="51.75" customHeight="1">
      <c r="A919" s="873" t="s">
        <v>1019</v>
      </c>
      <c r="B919" s="571" t="s">
        <v>390</v>
      </c>
      <c r="C919" s="572" t="s">
        <v>391</v>
      </c>
      <c r="D919" s="505">
        <v>981</v>
      </c>
      <c r="E919" s="656">
        <v>614234</v>
      </c>
      <c r="F919" s="569" t="s">
        <v>47</v>
      </c>
      <c r="G919" s="1156">
        <v>60000</v>
      </c>
      <c r="H919" s="1156"/>
      <c r="I919" s="1156"/>
      <c r="J919" s="1154">
        <f t="shared" si="178"/>
        <v>60000</v>
      </c>
      <c r="K919" s="1156">
        <v>0</v>
      </c>
      <c r="L919" s="1156"/>
      <c r="M919" s="1156"/>
      <c r="N919" s="1154">
        <f t="shared" si="179"/>
        <v>0</v>
      </c>
      <c r="O919" s="1156">
        <f t="shared" si="180"/>
        <v>60000</v>
      </c>
      <c r="P919" s="1155">
        <f t="shared" si="181"/>
        <v>60000</v>
      </c>
    </row>
    <row r="920" spans="1:16" s="1018" customFormat="1" ht="33.75" customHeight="1">
      <c r="A920" s="873" t="s">
        <v>1019</v>
      </c>
      <c r="B920" s="595" t="s">
        <v>390</v>
      </c>
      <c r="C920" s="691" t="s">
        <v>391</v>
      </c>
      <c r="D920" s="847">
        <v>1091</v>
      </c>
      <c r="E920" s="464" t="s">
        <v>633</v>
      </c>
      <c r="F920" s="598" t="s">
        <v>304</v>
      </c>
      <c r="G920" s="1154">
        <v>420000</v>
      </c>
      <c r="H920" s="1154"/>
      <c r="I920" s="1154"/>
      <c r="J920" s="1154">
        <f t="shared" si="178"/>
        <v>420000</v>
      </c>
      <c r="K920" s="1154">
        <v>0</v>
      </c>
      <c r="L920" s="1154"/>
      <c r="M920" s="1154"/>
      <c r="N920" s="1154">
        <f t="shared" si="179"/>
        <v>0</v>
      </c>
      <c r="O920" s="1154">
        <f t="shared" si="180"/>
        <v>420000</v>
      </c>
      <c r="P920" s="1155">
        <f t="shared" si="181"/>
        <v>420000</v>
      </c>
    </row>
    <row r="921" spans="1:16" s="1018" customFormat="1" ht="33.75" customHeight="1">
      <c r="A921" s="873" t="s">
        <v>1019</v>
      </c>
      <c r="B921" s="595" t="s">
        <v>390</v>
      </c>
      <c r="C921" s="691" t="s">
        <v>391</v>
      </c>
      <c r="D921" s="847">
        <v>1095</v>
      </c>
      <c r="E921" s="464" t="s">
        <v>1083</v>
      </c>
      <c r="F921" s="598" t="s">
        <v>1084</v>
      </c>
      <c r="G921" s="1154">
        <v>100000</v>
      </c>
      <c r="H921" s="1154"/>
      <c r="I921" s="1154"/>
      <c r="J921" s="1154">
        <f t="shared" si="178"/>
        <v>100000</v>
      </c>
      <c r="K921" s="1154">
        <v>0</v>
      </c>
      <c r="L921" s="1154"/>
      <c r="M921" s="1154"/>
      <c r="N921" s="1154">
        <f t="shared" si="179"/>
        <v>0</v>
      </c>
      <c r="O921" s="1154">
        <f t="shared" si="180"/>
        <v>100000</v>
      </c>
      <c r="P921" s="1155">
        <f t="shared" si="181"/>
        <v>100000</v>
      </c>
    </row>
    <row r="922" spans="1:16" s="1018" customFormat="1" ht="32.25" customHeight="1">
      <c r="A922" s="873" t="s">
        <v>1019</v>
      </c>
      <c r="B922" s="571" t="s">
        <v>390</v>
      </c>
      <c r="C922" s="572" t="s">
        <v>391</v>
      </c>
      <c r="D922" s="505">
        <v>1091</v>
      </c>
      <c r="E922" s="656" t="s">
        <v>634</v>
      </c>
      <c r="F922" s="569" t="s">
        <v>904</v>
      </c>
      <c r="G922" s="1154">
        <v>40000</v>
      </c>
      <c r="H922" s="1154"/>
      <c r="I922" s="1154"/>
      <c r="J922" s="1154">
        <f t="shared" si="178"/>
        <v>40000</v>
      </c>
      <c r="K922" s="1154">
        <v>0</v>
      </c>
      <c r="L922" s="1154"/>
      <c r="M922" s="1154"/>
      <c r="N922" s="1154">
        <f t="shared" si="179"/>
        <v>0</v>
      </c>
      <c r="O922" s="1154">
        <f t="shared" si="180"/>
        <v>40000</v>
      </c>
      <c r="P922" s="1155">
        <f t="shared" si="181"/>
        <v>40000</v>
      </c>
    </row>
    <row r="923" spans="1:16" s="1018" customFormat="1" ht="32.25" customHeight="1">
      <c r="A923" s="873" t="s">
        <v>1019</v>
      </c>
      <c r="B923" s="571" t="s">
        <v>390</v>
      </c>
      <c r="C923" s="572" t="s">
        <v>391</v>
      </c>
      <c r="D923" s="568">
        <v>1091</v>
      </c>
      <c r="E923" s="506" t="s">
        <v>774</v>
      </c>
      <c r="F923" s="569" t="s">
        <v>772</v>
      </c>
      <c r="G923" s="1154">
        <v>12000</v>
      </c>
      <c r="H923" s="1154"/>
      <c r="I923" s="1154"/>
      <c r="J923" s="1154">
        <f t="shared" si="178"/>
        <v>12000</v>
      </c>
      <c r="K923" s="1154">
        <v>0</v>
      </c>
      <c r="L923" s="1154"/>
      <c r="M923" s="1154"/>
      <c r="N923" s="1154">
        <f t="shared" si="179"/>
        <v>0</v>
      </c>
      <c r="O923" s="1154">
        <f t="shared" si="180"/>
        <v>12000</v>
      </c>
      <c r="P923" s="1155">
        <f t="shared" si="181"/>
        <v>12000</v>
      </c>
    </row>
    <row r="924" spans="1:16" s="1018" customFormat="1" ht="53.25" customHeight="1">
      <c r="A924" s="873" t="s">
        <v>1019</v>
      </c>
      <c r="B924" s="571" t="s">
        <v>390</v>
      </c>
      <c r="C924" s="572" t="s">
        <v>391</v>
      </c>
      <c r="D924" s="568">
        <v>1091</v>
      </c>
      <c r="E924" s="506">
        <v>614259</v>
      </c>
      <c r="F924" s="573" t="s">
        <v>761</v>
      </c>
      <c r="G924" s="1156">
        <v>22000</v>
      </c>
      <c r="H924" s="1156"/>
      <c r="I924" s="1156"/>
      <c r="J924" s="1154">
        <f t="shared" si="178"/>
        <v>22000</v>
      </c>
      <c r="K924" s="1156">
        <v>0</v>
      </c>
      <c r="L924" s="1156"/>
      <c r="M924" s="1156"/>
      <c r="N924" s="1154">
        <f t="shared" si="179"/>
        <v>0</v>
      </c>
      <c r="O924" s="1156">
        <f t="shared" si="180"/>
        <v>22000</v>
      </c>
      <c r="P924" s="1155">
        <f t="shared" si="181"/>
        <v>22000</v>
      </c>
    </row>
    <row r="925" spans="1:16" s="1018" customFormat="1" ht="33.75" customHeight="1">
      <c r="A925" s="873" t="s">
        <v>1019</v>
      </c>
      <c r="B925" s="1312" t="s">
        <v>390</v>
      </c>
      <c r="C925" s="1336" t="s">
        <v>391</v>
      </c>
      <c r="D925" s="1371">
        <v>811</v>
      </c>
      <c r="E925" s="1317" t="s">
        <v>635</v>
      </c>
      <c r="F925" s="1343" t="s">
        <v>295</v>
      </c>
      <c r="G925" s="1315">
        <v>120000</v>
      </c>
      <c r="H925" s="1315"/>
      <c r="I925" s="1315">
        <v>20000</v>
      </c>
      <c r="J925" s="1315">
        <f t="shared" si="178"/>
        <v>100000</v>
      </c>
      <c r="K925" s="1315">
        <v>0</v>
      </c>
      <c r="L925" s="1315"/>
      <c r="M925" s="1315"/>
      <c r="N925" s="1315">
        <f t="shared" si="179"/>
        <v>0</v>
      </c>
      <c r="O925" s="1315">
        <f t="shared" si="180"/>
        <v>120000</v>
      </c>
      <c r="P925" s="1316">
        <f t="shared" si="181"/>
        <v>100000</v>
      </c>
    </row>
    <row r="926" spans="1:16" s="1018" customFormat="1" ht="33.75" customHeight="1">
      <c r="A926" s="873" t="s">
        <v>1019</v>
      </c>
      <c r="B926" s="571" t="s">
        <v>390</v>
      </c>
      <c r="C926" s="572" t="s">
        <v>391</v>
      </c>
      <c r="D926" s="505">
        <v>821</v>
      </c>
      <c r="E926" s="656" t="s">
        <v>27</v>
      </c>
      <c r="F926" s="569" t="s">
        <v>28</v>
      </c>
      <c r="G926" s="1154">
        <v>40000</v>
      </c>
      <c r="H926" s="1154"/>
      <c r="I926" s="1154"/>
      <c r="J926" s="1154">
        <f t="shared" si="178"/>
        <v>40000</v>
      </c>
      <c r="K926" s="1154">
        <v>0</v>
      </c>
      <c r="L926" s="1154"/>
      <c r="M926" s="1154"/>
      <c r="N926" s="1154">
        <f t="shared" si="179"/>
        <v>0</v>
      </c>
      <c r="O926" s="1154">
        <f t="shared" si="180"/>
        <v>40000</v>
      </c>
      <c r="P926" s="1155">
        <f t="shared" si="181"/>
        <v>40000</v>
      </c>
    </row>
    <row r="927" spans="1:16" s="1018" customFormat="1" ht="32.25" customHeight="1">
      <c r="A927" s="1370" t="s">
        <v>1019</v>
      </c>
      <c r="B927" s="1312" t="s">
        <v>390</v>
      </c>
      <c r="C927" s="1336" t="s">
        <v>391</v>
      </c>
      <c r="D927" s="1371">
        <v>811</v>
      </c>
      <c r="E927" s="1317" t="s">
        <v>638</v>
      </c>
      <c r="F927" s="1343" t="s">
        <v>330</v>
      </c>
      <c r="G927" s="1315">
        <v>1100000</v>
      </c>
      <c r="H927" s="1315"/>
      <c r="I927" s="1315">
        <v>65000</v>
      </c>
      <c r="J927" s="1315">
        <f t="shared" si="178"/>
        <v>1035000</v>
      </c>
      <c r="K927" s="1315">
        <v>0</v>
      </c>
      <c r="L927" s="1315"/>
      <c r="M927" s="1315"/>
      <c r="N927" s="1315">
        <f t="shared" si="179"/>
        <v>0</v>
      </c>
      <c r="O927" s="1315">
        <f t="shared" si="180"/>
        <v>1100000</v>
      </c>
      <c r="P927" s="1316">
        <f t="shared" si="181"/>
        <v>1035000</v>
      </c>
    </row>
    <row r="928" spans="1:16" s="1018" customFormat="1" ht="32.25" customHeight="1">
      <c r="A928" s="1370" t="s">
        <v>1019</v>
      </c>
      <c r="B928" s="1312" t="s">
        <v>390</v>
      </c>
      <c r="C928" s="1336" t="s">
        <v>391</v>
      </c>
      <c r="D928" s="1371">
        <v>811</v>
      </c>
      <c r="E928" s="1317" t="s">
        <v>639</v>
      </c>
      <c r="F928" s="1343" t="s">
        <v>213</v>
      </c>
      <c r="G928" s="1315">
        <v>380000</v>
      </c>
      <c r="H928" s="1315"/>
      <c r="I928" s="1315">
        <v>30000</v>
      </c>
      <c r="J928" s="1315">
        <f t="shared" si="178"/>
        <v>350000</v>
      </c>
      <c r="K928" s="1315">
        <v>0</v>
      </c>
      <c r="L928" s="1315"/>
      <c r="M928" s="1315"/>
      <c r="N928" s="1315">
        <f t="shared" si="179"/>
        <v>0</v>
      </c>
      <c r="O928" s="1315">
        <f t="shared" si="180"/>
        <v>380000</v>
      </c>
      <c r="P928" s="1316">
        <f t="shared" si="181"/>
        <v>350000</v>
      </c>
    </row>
    <row r="929" spans="1:16" s="1018" customFormat="1" ht="32.25" customHeight="1">
      <c r="A929" s="873" t="s">
        <v>1019</v>
      </c>
      <c r="B929" s="630" t="s">
        <v>390</v>
      </c>
      <c r="C929" s="920" t="s">
        <v>391</v>
      </c>
      <c r="D929" s="847">
        <v>821</v>
      </c>
      <c r="E929" s="847" t="s">
        <v>640</v>
      </c>
      <c r="F929" s="598" t="s">
        <v>280</v>
      </c>
      <c r="G929" s="1154">
        <v>21000</v>
      </c>
      <c r="H929" s="1154"/>
      <c r="I929" s="1154"/>
      <c r="J929" s="1154">
        <f t="shared" si="178"/>
        <v>21000</v>
      </c>
      <c r="K929" s="1154">
        <v>0</v>
      </c>
      <c r="L929" s="1154"/>
      <c r="M929" s="1154"/>
      <c r="N929" s="1154">
        <f t="shared" si="179"/>
        <v>0</v>
      </c>
      <c r="O929" s="1154">
        <f t="shared" si="180"/>
        <v>21000</v>
      </c>
      <c r="P929" s="1155">
        <f t="shared" si="181"/>
        <v>21000</v>
      </c>
    </row>
    <row r="930" spans="1:16" s="1018" customFormat="1" ht="30.75" customHeight="1">
      <c r="A930" s="873" t="s">
        <v>1019</v>
      </c>
      <c r="B930" s="630" t="s">
        <v>390</v>
      </c>
      <c r="C930" s="920" t="s">
        <v>391</v>
      </c>
      <c r="D930" s="505">
        <v>821</v>
      </c>
      <c r="E930" s="656" t="s">
        <v>641</v>
      </c>
      <c r="F930" s="569" t="s">
        <v>358</v>
      </c>
      <c r="G930" s="1154">
        <v>70000</v>
      </c>
      <c r="H930" s="1154"/>
      <c r="I930" s="1154"/>
      <c r="J930" s="1154">
        <f t="shared" si="178"/>
        <v>70000</v>
      </c>
      <c r="K930" s="1154">
        <v>0</v>
      </c>
      <c r="L930" s="1154"/>
      <c r="M930" s="1154"/>
      <c r="N930" s="1154">
        <f t="shared" si="179"/>
        <v>0</v>
      </c>
      <c r="O930" s="1154">
        <f t="shared" si="180"/>
        <v>70000</v>
      </c>
      <c r="P930" s="1155">
        <f t="shared" si="181"/>
        <v>70000</v>
      </c>
    </row>
    <row r="931" spans="1:16" s="1018" customFormat="1" ht="29.25" customHeight="1">
      <c r="A931" s="873" t="s">
        <v>1019</v>
      </c>
      <c r="B931" s="630" t="s">
        <v>390</v>
      </c>
      <c r="C931" s="920" t="s">
        <v>391</v>
      </c>
      <c r="D931" s="847">
        <v>811</v>
      </c>
      <c r="E931" s="464" t="s">
        <v>642</v>
      </c>
      <c r="F931" s="598" t="s">
        <v>613</v>
      </c>
      <c r="G931" s="1154">
        <v>70000</v>
      </c>
      <c r="H931" s="1154"/>
      <c r="I931" s="1154"/>
      <c r="J931" s="1154">
        <f t="shared" si="178"/>
        <v>70000</v>
      </c>
      <c r="K931" s="1154">
        <v>0</v>
      </c>
      <c r="L931" s="1154"/>
      <c r="M931" s="1154"/>
      <c r="N931" s="1154">
        <f t="shared" si="179"/>
        <v>0</v>
      </c>
      <c r="O931" s="1154">
        <f t="shared" si="180"/>
        <v>70000</v>
      </c>
      <c r="P931" s="1155">
        <f t="shared" si="181"/>
        <v>70000</v>
      </c>
    </row>
    <row r="932" spans="1:16" s="1018" customFormat="1" ht="29.25" customHeight="1">
      <c r="A932" s="873" t="s">
        <v>1019</v>
      </c>
      <c r="B932" s="959" t="s">
        <v>390</v>
      </c>
      <c r="C932" s="1100" t="s">
        <v>391</v>
      </c>
      <c r="D932" s="847">
        <v>474</v>
      </c>
      <c r="E932" s="464" t="s">
        <v>643</v>
      </c>
      <c r="F932" s="598" t="s">
        <v>1082</v>
      </c>
      <c r="G932" s="1154">
        <v>90000</v>
      </c>
      <c r="H932" s="1154"/>
      <c r="I932" s="1154"/>
      <c r="J932" s="1154">
        <f t="shared" si="178"/>
        <v>90000</v>
      </c>
      <c r="K932" s="1154">
        <v>0</v>
      </c>
      <c r="L932" s="1154"/>
      <c r="M932" s="1154"/>
      <c r="N932" s="1154">
        <f t="shared" si="179"/>
        <v>0</v>
      </c>
      <c r="O932" s="1154">
        <f t="shared" si="180"/>
        <v>90000</v>
      </c>
      <c r="P932" s="1155">
        <f t="shared" si="181"/>
        <v>90000</v>
      </c>
    </row>
    <row r="933" spans="1:16" s="1018" customFormat="1" ht="32.25" customHeight="1">
      <c r="A933" s="873" t="s">
        <v>1019</v>
      </c>
      <c r="B933" s="630" t="s">
        <v>390</v>
      </c>
      <c r="C933" s="920" t="s">
        <v>391</v>
      </c>
      <c r="D933" s="847">
        <v>811</v>
      </c>
      <c r="E933" s="464" t="s">
        <v>644</v>
      </c>
      <c r="F933" s="714" t="s">
        <v>1073</v>
      </c>
      <c r="G933" s="1154">
        <v>30000</v>
      </c>
      <c r="H933" s="1154"/>
      <c r="I933" s="1154"/>
      <c r="J933" s="1154">
        <f t="shared" si="178"/>
        <v>30000</v>
      </c>
      <c r="K933" s="1154">
        <v>0</v>
      </c>
      <c r="L933" s="1154"/>
      <c r="M933" s="1154"/>
      <c r="N933" s="1154">
        <f t="shared" si="179"/>
        <v>0</v>
      </c>
      <c r="O933" s="1154">
        <f t="shared" si="180"/>
        <v>30000</v>
      </c>
      <c r="P933" s="1155">
        <f t="shared" si="181"/>
        <v>30000</v>
      </c>
    </row>
    <row r="934" spans="1:16" s="1018" customFormat="1" ht="33.75" customHeight="1">
      <c r="A934" s="873" t="s">
        <v>1019</v>
      </c>
      <c r="B934" s="630" t="s">
        <v>390</v>
      </c>
      <c r="C934" s="920" t="s">
        <v>391</v>
      </c>
      <c r="D934" s="847">
        <v>1091</v>
      </c>
      <c r="E934" s="464" t="s">
        <v>636</v>
      </c>
      <c r="F934" s="598" t="s">
        <v>31</v>
      </c>
      <c r="G934" s="1154">
        <v>210000</v>
      </c>
      <c r="H934" s="1154"/>
      <c r="I934" s="1154"/>
      <c r="J934" s="1154">
        <f t="shared" si="178"/>
        <v>210000</v>
      </c>
      <c r="K934" s="1154">
        <v>0</v>
      </c>
      <c r="L934" s="1154"/>
      <c r="M934" s="1154"/>
      <c r="N934" s="1154">
        <f t="shared" si="179"/>
        <v>0</v>
      </c>
      <c r="O934" s="1154">
        <f t="shared" si="180"/>
        <v>210000</v>
      </c>
      <c r="P934" s="1155">
        <f t="shared" si="181"/>
        <v>210000</v>
      </c>
    </row>
    <row r="935" spans="1:16" s="1018" customFormat="1" ht="45.75" customHeight="1">
      <c r="A935" s="1306" t="s">
        <v>1019</v>
      </c>
      <c r="B935" s="1307" t="s">
        <v>390</v>
      </c>
      <c r="C935" s="1308" t="s">
        <v>391</v>
      </c>
      <c r="D935" s="1309">
        <v>474</v>
      </c>
      <c r="E935" s="1310" t="s">
        <v>315</v>
      </c>
      <c r="F935" s="1302" t="s">
        <v>1391</v>
      </c>
      <c r="G935" s="1303">
        <v>10000</v>
      </c>
      <c r="H935" s="1303">
        <v>30000</v>
      </c>
      <c r="I935" s="1303"/>
      <c r="J935" s="1303">
        <f t="shared" si="178"/>
        <v>40000</v>
      </c>
      <c r="K935" s="1303">
        <v>0</v>
      </c>
      <c r="L935" s="1303"/>
      <c r="M935" s="1303"/>
      <c r="N935" s="1303">
        <f t="shared" si="179"/>
        <v>0</v>
      </c>
      <c r="O935" s="1303">
        <f t="shared" si="180"/>
        <v>10000</v>
      </c>
      <c r="P935" s="1304">
        <f t="shared" si="181"/>
        <v>40000</v>
      </c>
    </row>
    <row r="936" spans="1:16" s="1018" customFormat="1" ht="30.75" customHeight="1" thickBot="1">
      <c r="A936" s="1372" t="s">
        <v>1019</v>
      </c>
      <c r="B936" s="1373" t="s">
        <v>390</v>
      </c>
      <c r="C936" s="1374" t="s">
        <v>391</v>
      </c>
      <c r="D936" s="1375">
        <v>811</v>
      </c>
      <c r="E936" s="1376" t="s">
        <v>110</v>
      </c>
      <c r="F936" s="1377" t="s">
        <v>407</v>
      </c>
      <c r="G936" s="1378">
        <v>270000</v>
      </c>
      <c r="H936" s="1378"/>
      <c r="I936" s="1378">
        <v>35000</v>
      </c>
      <c r="J936" s="1378">
        <f t="shared" si="178"/>
        <v>235000</v>
      </c>
      <c r="K936" s="1378">
        <v>0</v>
      </c>
      <c r="L936" s="1378"/>
      <c r="M936" s="1378"/>
      <c r="N936" s="1379">
        <f t="shared" si="179"/>
        <v>0</v>
      </c>
      <c r="O936" s="1378">
        <f t="shared" si="180"/>
        <v>270000</v>
      </c>
      <c r="P936" s="1380">
        <f t="shared" si="181"/>
        <v>235000</v>
      </c>
    </row>
    <row r="937" spans="1:16" s="1018" customFormat="1" ht="30.75" customHeight="1" thickBot="1">
      <c r="A937" s="1019"/>
      <c r="B937" s="1036"/>
      <c r="C937" s="1036"/>
      <c r="D937" s="1021"/>
      <c r="E937" s="1021"/>
      <c r="F937" s="1022"/>
      <c r="G937" s="1023"/>
      <c r="H937" s="1023"/>
      <c r="I937" s="1023"/>
      <c r="J937" s="1023"/>
      <c r="K937" s="1023"/>
      <c r="L937" s="1023"/>
      <c r="M937" s="1023"/>
      <c r="N937" s="1023"/>
      <c r="O937" s="1023"/>
      <c r="P937" s="1023"/>
    </row>
    <row r="938" spans="1:16" s="1018" customFormat="1" ht="296.25" customHeight="1">
      <c r="A938" s="607" t="s">
        <v>494</v>
      </c>
      <c r="B938" s="608" t="s">
        <v>495</v>
      </c>
      <c r="C938" s="609" t="s">
        <v>687</v>
      </c>
      <c r="D938" s="406" t="s">
        <v>497</v>
      </c>
      <c r="E938" s="406" t="s">
        <v>188</v>
      </c>
      <c r="F938" s="610" t="s">
        <v>496</v>
      </c>
      <c r="G938" s="813" t="s">
        <v>1322</v>
      </c>
      <c r="H938" s="813" t="s">
        <v>1324</v>
      </c>
      <c r="I938" s="813" t="s">
        <v>1325</v>
      </c>
      <c r="J938" s="813" t="s">
        <v>1326</v>
      </c>
      <c r="K938" s="813" t="s">
        <v>1323</v>
      </c>
      <c r="L938" s="813" t="s">
        <v>1327</v>
      </c>
      <c r="M938" s="813" t="s">
        <v>1328</v>
      </c>
      <c r="N938" s="813" t="s">
        <v>1329</v>
      </c>
      <c r="O938" s="1278" t="s">
        <v>1321</v>
      </c>
      <c r="P938" s="1149" t="s">
        <v>1330</v>
      </c>
    </row>
    <row r="939" spans="1:16" s="1018" customFormat="1" ht="20.25" customHeight="1">
      <c r="A939" s="1037"/>
      <c r="B939" s="1038"/>
      <c r="C939" s="1039"/>
      <c r="D939" s="1040">
        <v>1</v>
      </c>
      <c r="E939" s="1041">
        <v>2</v>
      </c>
      <c r="F939" s="1042">
        <v>3</v>
      </c>
      <c r="G939" s="1283">
        <v>4</v>
      </c>
      <c r="H939" s="1283">
        <v>5</v>
      </c>
      <c r="I939" s="1283">
        <v>6</v>
      </c>
      <c r="J939" s="1283">
        <v>7</v>
      </c>
      <c r="K939" s="1283">
        <v>8</v>
      </c>
      <c r="L939" s="1283">
        <v>9</v>
      </c>
      <c r="M939" s="1283">
        <v>10</v>
      </c>
      <c r="N939" s="1283">
        <v>11</v>
      </c>
      <c r="O939" s="1283">
        <v>12</v>
      </c>
      <c r="P939" s="1284">
        <v>13</v>
      </c>
    </row>
    <row r="940" spans="1:16" s="1018" customFormat="1" ht="36.75" customHeight="1">
      <c r="A940" s="873" t="s">
        <v>1019</v>
      </c>
      <c r="B940" s="595" t="s">
        <v>390</v>
      </c>
      <c r="C940" s="691" t="s">
        <v>391</v>
      </c>
      <c r="D940" s="579">
        <v>811</v>
      </c>
      <c r="E940" s="580" t="s">
        <v>472</v>
      </c>
      <c r="F940" s="578" t="s">
        <v>79</v>
      </c>
      <c r="G940" s="1154">
        <v>25000</v>
      </c>
      <c r="H940" s="1154"/>
      <c r="I940" s="1154"/>
      <c r="J940" s="1154">
        <f aca="true" t="shared" si="182" ref="J940:J954">G940+H940-I940</f>
        <v>25000</v>
      </c>
      <c r="K940" s="1154">
        <v>0</v>
      </c>
      <c r="L940" s="1154"/>
      <c r="M940" s="1154"/>
      <c r="N940" s="1154">
        <f aca="true" t="shared" si="183" ref="N940:N954">K940+L940-M940</f>
        <v>0</v>
      </c>
      <c r="O940" s="1154">
        <f>G940+K940</f>
        <v>25000</v>
      </c>
      <c r="P940" s="1155">
        <f aca="true" t="shared" si="184" ref="P940:P954">J940+N940</f>
        <v>25000</v>
      </c>
    </row>
    <row r="941" spans="1:16" s="1018" customFormat="1" ht="36.75" customHeight="1">
      <c r="A941" s="873" t="s">
        <v>1019</v>
      </c>
      <c r="B941" s="595" t="s">
        <v>390</v>
      </c>
      <c r="C941" s="691" t="s">
        <v>391</v>
      </c>
      <c r="D941" s="579">
        <v>831</v>
      </c>
      <c r="E941" s="580" t="s">
        <v>296</v>
      </c>
      <c r="F941" s="578" t="s">
        <v>297</v>
      </c>
      <c r="G941" s="1154">
        <v>60000</v>
      </c>
      <c r="H941" s="1154"/>
      <c r="I941" s="1154"/>
      <c r="J941" s="1154">
        <f t="shared" si="182"/>
        <v>60000</v>
      </c>
      <c r="K941" s="1154">
        <v>0</v>
      </c>
      <c r="L941" s="1154"/>
      <c r="M941" s="1154"/>
      <c r="N941" s="1154">
        <f t="shared" si="183"/>
        <v>0</v>
      </c>
      <c r="O941" s="1154">
        <f aca="true" t="shared" si="185" ref="O941:O954">G941+K941</f>
        <v>60000</v>
      </c>
      <c r="P941" s="1155">
        <f t="shared" si="184"/>
        <v>60000</v>
      </c>
    </row>
    <row r="942" spans="1:16" s="1018" customFormat="1" ht="32.25" customHeight="1">
      <c r="A942" s="873" t="s">
        <v>1019</v>
      </c>
      <c r="B942" s="571" t="s">
        <v>390</v>
      </c>
      <c r="C942" s="572" t="s">
        <v>391</v>
      </c>
      <c r="D942" s="568">
        <v>474</v>
      </c>
      <c r="E942" s="656" t="s">
        <v>59</v>
      </c>
      <c r="F942" s="569" t="s">
        <v>56</v>
      </c>
      <c r="G942" s="1154">
        <v>23000</v>
      </c>
      <c r="H942" s="1154"/>
      <c r="I942" s="1154"/>
      <c r="J942" s="1154">
        <f t="shared" si="182"/>
        <v>23000</v>
      </c>
      <c r="K942" s="1154">
        <v>0</v>
      </c>
      <c r="L942" s="1154"/>
      <c r="M942" s="1154"/>
      <c r="N942" s="1154">
        <f t="shared" si="183"/>
        <v>0</v>
      </c>
      <c r="O942" s="1154">
        <f t="shared" si="185"/>
        <v>23000</v>
      </c>
      <c r="P942" s="1155">
        <f t="shared" si="184"/>
        <v>23000</v>
      </c>
    </row>
    <row r="943" spans="1:16" s="1018" customFormat="1" ht="47.25" customHeight="1">
      <c r="A943" s="873" t="s">
        <v>1019</v>
      </c>
      <c r="B943" s="571" t="s">
        <v>390</v>
      </c>
      <c r="C943" s="572" t="s">
        <v>391</v>
      </c>
      <c r="D943" s="568">
        <v>821</v>
      </c>
      <c r="E943" s="506" t="s">
        <v>83</v>
      </c>
      <c r="F943" s="569" t="s">
        <v>818</v>
      </c>
      <c r="G943" s="1156">
        <v>20000</v>
      </c>
      <c r="H943" s="1156"/>
      <c r="I943" s="1156"/>
      <c r="J943" s="1154">
        <f t="shared" si="182"/>
        <v>20000</v>
      </c>
      <c r="K943" s="1156">
        <v>0</v>
      </c>
      <c r="L943" s="1156"/>
      <c r="M943" s="1156"/>
      <c r="N943" s="1154">
        <f t="shared" si="183"/>
        <v>0</v>
      </c>
      <c r="O943" s="1156">
        <f t="shared" si="185"/>
        <v>20000</v>
      </c>
      <c r="P943" s="1155">
        <f t="shared" si="184"/>
        <v>20000</v>
      </c>
    </row>
    <row r="944" spans="1:16" s="1018" customFormat="1" ht="51.75" customHeight="1">
      <c r="A944" s="873" t="s">
        <v>1019</v>
      </c>
      <c r="B944" s="595" t="s">
        <v>390</v>
      </c>
      <c r="C944" s="691" t="s">
        <v>391</v>
      </c>
      <c r="D944" s="579">
        <v>1091</v>
      </c>
      <c r="E944" s="580" t="s">
        <v>775</v>
      </c>
      <c r="F944" s="578" t="s">
        <v>776</v>
      </c>
      <c r="G944" s="1156">
        <v>85000</v>
      </c>
      <c r="H944" s="1156"/>
      <c r="I944" s="1156"/>
      <c r="J944" s="1154">
        <f t="shared" si="182"/>
        <v>85000</v>
      </c>
      <c r="K944" s="1156">
        <v>0</v>
      </c>
      <c r="L944" s="1156"/>
      <c r="M944" s="1156"/>
      <c r="N944" s="1154">
        <f t="shared" si="183"/>
        <v>0</v>
      </c>
      <c r="O944" s="1156">
        <f t="shared" si="185"/>
        <v>85000</v>
      </c>
      <c r="P944" s="1155">
        <f t="shared" si="184"/>
        <v>85000</v>
      </c>
    </row>
    <row r="945" spans="1:16" s="1018" customFormat="1" ht="36.75" customHeight="1">
      <c r="A945" s="873" t="s">
        <v>1019</v>
      </c>
      <c r="B945" s="595" t="s">
        <v>390</v>
      </c>
      <c r="C945" s="691" t="s">
        <v>391</v>
      </c>
      <c r="D945" s="579">
        <v>761</v>
      </c>
      <c r="E945" s="580" t="s">
        <v>846</v>
      </c>
      <c r="F945" s="578" t="s">
        <v>847</v>
      </c>
      <c r="G945" s="1154">
        <v>48000</v>
      </c>
      <c r="H945" s="1154"/>
      <c r="I945" s="1154"/>
      <c r="J945" s="1154">
        <f t="shared" si="182"/>
        <v>48000</v>
      </c>
      <c r="K945" s="1154">
        <v>0</v>
      </c>
      <c r="L945" s="1154"/>
      <c r="M945" s="1154"/>
      <c r="N945" s="1154">
        <f t="shared" si="183"/>
        <v>0</v>
      </c>
      <c r="O945" s="1154">
        <f t="shared" si="185"/>
        <v>48000</v>
      </c>
      <c r="P945" s="1155">
        <f t="shared" si="184"/>
        <v>48000</v>
      </c>
    </row>
    <row r="946" spans="1:16" s="1018" customFormat="1" ht="36.75" customHeight="1">
      <c r="A946" s="873" t="s">
        <v>1019</v>
      </c>
      <c r="B946" s="595" t="s">
        <v>390</v>
      </c>
      <c r="C946" s="691" t="s">
        <v>391</v>
      </c>
      <c r="D946" s="579">
        <v>1094</v>
      </c>
      <c r="E946" s="580" t="s">
        <v>848</v>
      </c>
      <c r="F946" s="578" t="s">
        <v>849</v>
      </c>
      <c r="G946" s="1154">
        <v>5000</v>
      </c>
      <c r="H946" s="1154"/>
      <c r="I946" s="1154"/>
      <c r="J946" s="1154">
        <f t="shared" si="182"/>
        <v>5000</v>
      </c>
      <c r="K946" s="1154">
        <v>0</v>
      </c>
      <c r="L946" s="1154"/>
      <c r="M946" s="1154"/>
      <c r="N946" s="1154">
        <f t="shared" si="183"/>
        <v>0</v>
      </c>
      <c r="O946" s="1154">
        <f t="shared" si="185"/>
        <v>5000</v>
      </c>
      <c r="P946" s="1155">
        <f t="shared" si="184"/>
        <v>5000</v>
      </c>
    </row>
    <row r="947" spans="1:16" s="1018" customFormat="1" ht="38.25" customHeight="1">
      <c r="A947" s="873" t="s">
        <v>1019</v>
      </c>
      <c r="B947" s="595" t="s">
        <v>390</v>
      </c>
      <c r="C947" s="691" t="s">
        <v>391</v>
      </c>
      <c r="D947" s="579">
        <v>474</v>
      </c>
      <c r="E947" s="580" t="s">
        <v>917</v>
      </c>
      <c r="F947" s="578" t="s">
        <v>916</v>
      </c>
      <c r="G947" s="1154">
        <v>4500</v>
      </c>
      <c r="H947" s="1154"/>
      <c r="I947" s="1154"/>
      <c r="J947" s="1154">
        <f t="shared" si="182"/>
        <v>4500</v>
      </c>
      <c r="K947" s="1154">
        <v>0</v>
      </c>
      <c r="L947" s="1154"/>
      <c r="M947" s="1154"/>
      <c r="N947" s="1154">
        <f t="shared" si="183"/>
        <v>0</v>
      </c>
      <c r="O947" s="1154">
        <f t="shared" si="185"/>
        <v>4500</v>
      </c>
      <c r="P947" s="1155">
        <f t="shared" si="184"/>
        <v>4500</v>
      </c>
    </row>
    <row r="948" spans="1:16" s="1018" customFormat="1" ht="30.75" customHeight="1">
      <c r="A948" s="873" t="s">
        <v>1019</v>
      </c>
      <c r="B948" s="595" t="s">
        <v>390</v>
      </c>
      <c r="C948" s="691" t="s">
        <v>391</v>
      </c>
      <c r="D948" s="579">
        <v>841</v>
      </c>
      <c r="E948" s="580">
        <v>614319</v>
      </c>
      <c r="F948" s="578" t="s">
        <v>819</v>
      </c>
      <c r="G948" s="1154">
        <v>30000</v>
      </c>
      <c r="H948" s="1154"/>
      <c r="I948" s="1154"/>
      <c r="J948" s="1154">
        <f t="shared" si="182"/>
        <v>30000</v>
      </c>
      <c r="K948" s="1154">
        <v>0</v>
      </c>
      <c r="L948" s="1154"/>
      <c r="M948" s="1154"/>
      <c r="N948" s="1154">
        <f t="shared" si="183"/>
        <v>0</v>
      </c>
      <c r="O948" s="1154">
        <f t="shared" si="185"/>
        <v>30000</v>
      </c>
      <c r="P948" s="1155">
        <f t="shared" si="184"/>
        <v>30000</v>
      </c>
    </row>
    <row r="949" spans="1:16" s="1018" customFormat="1" ht="35.25" customHeight="1">
      <c r="A949" s="873" t="s">
        <v>1019</v>
      </c>
      <c r="B949" s="595" t="s">
        <v>390</v>
      </c>
      <c r="C949" s="691" t="s">
        <v>391</v>
      </c>
      <c r="D949" s="847">
        <v>821</v>
      </c>
      <c r="E949" s="464">
        <v>614325</v>
      </c>
      <c r="F949" s="598" t="s">
        <v>623</v>
      </c>
      <c r="G949" s="1154">
        <v>20000</v>
      </c>
      <c r="H949" s="1154"/>
      <c r="I949" s="1154"/>
      <c r="J949" s="1154">
        <f t="shared" si="182"/>
        <v>20000</v>
      </c>
      <c r="K949" s="1154">
        <v>0</v>
      </c>
      <c r="L949" s="1154"/>
      <c r="M949" s="1154"/>
      <c r="N949" s="1154">
        <f t="shared" si="183"/>
        <v>0</v>
      </c>
      <c r="O949" s="1154">
        <f t="shared" si="185"/>
        <v>20000</v>
      </c>
      <c r="P949" s="1155">
        <f t="shared" si="184"/>
        <v>20000</v>
      </c>
    </row>
    <row r="950" spans="1:16" s="1018" customFormat="1" ht="33.75" customHeight="1">
      <c r="A950" s="873" t="s">
        <v>1019</v>
      </c>
      <c r="B950" s="595" t="s">
        <v>390</v>
      </c>
      <c r="C950" s="691" t="s">
        <v>391</v>
      </c>
      <c r="D950" s="847">
        <v>1091</v>
      </c>
      <c r="E950" s="464" t="s">
        <v>646</v>
      </c>
      <c r="F950" s="598" t="s">
        <v>599</v>
      </c>
      <c r="G950" s="1154">
        <v>40000</v>
      </c>
      <c r="H950" s="1154"/>
      <c r="I950" s="1154"/>
      <c r="J950" s="1154">
        <f t="shared" si="182"/>
        <v>40000</v>
      </c>
      <c r="K950" s="1154">
        <v>0</v>
      </c>
      <c r="L950" s="1154"/>
      <c r="M950" s="1154"/>
      <c r="N950" s="1154">
        <f t="shared" si="183"/>
        <v>0</v>
      </c>
      <c r="O950" s="1154">
        <f t="shared" si="185"/>
        <v>40000</v>
      </c>
      <c r="P950" s="1155">
        <f t="shared" si="184"/>
        <v>40000</v>
      </c>
    </row>
    <row r="951" spans="1:16" s="1018" customFormat="1" ht="36.75" customHeight="1">
      <c r="A951" s="873" t="s">
        <v>1019</v>
      </c>
      <c r="B951" s="595" t="s">
        <v>390</v>
      </c>
      <c r="C951" s="691" t="s">
        <v>391</v>
      </c>
      <c r="D951" s="847">
        <v>1091</v>
      </c>
      <c r="E951" s="464" t="s">
        <v>647</v>
      </c>
      <c r="F951" s="598" t="s">
        <v>215</v>
      </c>
      <c r="G951" s="1154">
        <v>19200</v>
      </c>
      <c r="H951" s="1154"/>
      <c r="I951" s="1154"/>
      <c r="J951" s="1154">
        <f t="shared" si="182"/>
        <v>19200</v>
      </c>
      <c r="K951" s="1154">
        <v>0</v>
      </c>
      <c r="L951" s="1154"/>
      <c r="M951" s="1154"/>
      <c r="N951" s="1154">
        <f t="shared" si="183"/>
        <v>0</v>
      </c>
      <c r="O951" s="1154">
        <f t="shared" si="185"/>
        <v>19200</v>
      </c>
      <c r="P951" s="1155">
        <f t="shared" si="184"/>
        <v>19200</v>
      </c>
    </row>
    <row r="952" spans="1:16" s="1018" customFormat="1" ht="36.75" customHeight="1">
      <c r="A952" s="873" t="s">
        <v>1019</v>
      </c>
      <c r="B952" s="595" t="s">
        <v>390</v>
      </c>
      <c r="C952" s="691" t="s">
        <v>391</v>
      </c>
      <c r="D952" s="579">
        <v>474</v>
      </c>
      <c r="E952" s="580" t="s">
        <v>905</v>
      </c>
      <c r="F952" s="578" t="s">
        <v>903</v>
      </c>
      <c r="G952" s="1154">
        <v>12000</v>
      </c>
      <c r="H952" s="1154"/>
      <c r="I952" s="1154"/>
      <c r="J952" s="1154">
        <f t="shared" si="182"/>
        <v>12000</v>
      </c>
      <c r="K952" s="1154">
        <v>0</v>
      </c>
      <c r="L952" s="1154"/>
      <c r="M952" s="1154"/>
      <c r="N952" s="1154">
        <f t="shared" si="183"/>
        <v>0</v>
      </c>
      <c r="O952" s="1154">
        <f t="shared" si="185"/>
        <v>12000</v>
      </c>
      <c r="P952" s="1155">
        <f t="shared" si="184"/>
        <v>12000</v>
      </c>
    </row>
    <row r="953" spans="1:16" s="1018" customFormat="1" ht="35.25" customHeight="1">
      <c r="A953" s="873" t="s">
        <v>1019</v>
      </c>
      <c r="B953" s="874" t="s">
        <v>390</v>
      </c>
      <c r="C953" s="875" t="s">
        <v>391</v>
      </c>
      <c r="D953" s="579">
        <v>474</v>
      </c>
      <c r="E953" s="580" t="s">
        <v>985</v>
      </c>
      <c r="F953" s="578" t="s">
        <v>986</v>
      </c>
      <c r="G953" s="1154">
        <v>30000</v>
      </c>
      <c r="H953" s="1154"/>
      <c r="I953" s="1154"/>
      <c r="J953" s="1154">
        <f t="shared" si="182"/>
        <v>30000</v>
      </c>
      <c r="K953" s="1154">
        <v>0</v>
      </c>
      <c r="L953" s="1154"/>
      <c r="M953" s="1154"/>
      <c r="N953" s="1154">
        <f t="shared" si="183"/>
        <v>0</v>
      </c>
      <c r="O953" s="1154">
        <f t="shared" si="185"/>
        <v>30000</v>
      </c>
      <c r="P953" s="1155">
        <f t="shared" si="184"/>
        <v>30000</v>
      </c>
    </row>
    <row r="954" spans="1:16" s="1018" customFormat="1" ht="33.75" customHeight="1">
      <c r="A954" s="873" t="s">
        <v>1019</v>
      </c>
      <c r="B954" s="874" t="s">
        <v>390</v>
      </c>
      <c r="C954" s="875" t="s">
        <v>391</v>
      </c>
      <c r="D954" s="847">
        <v>841</v>
      </c>
      <c r="E954" s="464" t="s">
        <v>933</v>
      </c>
      <c r="F954" s="578" t="s">
        <v>934</v>
      </c>
      <c r="G954" s="1154">
        <v>30000</v>
      </c>
      <c r="H954" s="1154"/>
      <c r="I954" s="1154"/>
      <c r="J954" s="1154">
        <f t="shared" si="182"/>
        <v>30000</v>
      </c>
      <c r="K954" s="1154">
        <v>0</v>
      </c>
      <c r="L954" s="1154"/>
      <c r="M954" s="1154"/>
      <c r="N954" s="1154">
        <f t="shared" si="183"/>
        <v>0</v>
      </c>
      <c r="O954" s="1154">
        <f t="shared" si="185"/>
        <v>30000</v>
      </c>
      <c r="P954" s="1155">
        <f t="shared" si="184"/>
        <v>30000</v>
      </c>
    </row>
    <row r="955" spans="1:16" s="1018" customFormat="1" ht="51.75" customHeight="1">
      <c r="A955" s="1096"/>
      <c r="B955" s="1097"/>
      <c r="C955" s="1098"/>
      <c r="D955" s="1099"/>
      <c r="E955" s="623">
        <v>820000</v>
      </c>
      <c r="F955" s="894" t="s">
        <v>252</v>
      </c>
      <c r="G955" s="1181"/>
      <c r="H955" s="1181"/>
      <c r="I955" s="1181"/>
      <c r="J955" s="1181"/>
      <c r="K955" s="1181"/>
      <c r="L955" s="1181"/>
      <c r="M955" s="1181"/>
      <c r="N955" s="1181"/>
      <c r="O955" s="1181"/>
      <c r="P955" s="1203"/>
    </row>
    <row r="956" spans="1:16" s="1018" customFormat="1" ht="45.75" customHeight="1">
      <c r="A956" s="1370" t="s">
        <v>1019</v>
      </c>
      <c r="B956" s="1381" t="s">
        <v>390</v>
      </c>
      <c r="C956" s="1382" t="s">
        <v>391</v>
      </c>
      <c r="D956" s="1341">
        <v>861</v>
      </c>
      <c r="E956" s="1313">
        <v>821300</v>
      </c>
      <c r="F956" s="1342" t="s">
        <v>528</v>
      </c>
      <c r="G956" s="1315">
        <v>8000</v>
      </c>
      <c r="H956" s="1315"/>
      <c r="I956" s="1315">
        <v>8000</v>
      </c>
      <c r="J956" s="1315">
        <f>G956+H956-I956</f>
        <v>0</v>
      </c>
      <c r="K956" s="1315">
        <v>0</v>
      </c>
      <c r="L956" s="1315"/>
      <c r="M956" s="1315"/>
      <c r="N956" s="1315">
        <f>K956+L956-M956</f>
        <v>0</v>
      </c>
      <c r="O956" s="1315">
        <f>G956+K956</f>
        <v>8000</v>
      </c>
      <c r="P956" s="1316">
        <f>J956+N956</f>
        <v>0</v>
      </c>
    </row>
    <row r="957" spans="1:16" s="1018" customFormat="1" ht="66.75" customHeight="1" thickBot="1">
      <c r="A957" s="642"/>
      <c r="B957" s="643"/>
      <c r="C957" s="643"/>
      <c r="D957" s="643"/>
      <c r="E957" s="643"/>
      <c r="F957" s="880" t="s">
        <v>1435</v>
      </c>
      <c r="G957" s="1166">
        <f aca="true" t="shared" si="186" ref="G957:P957">SUM(G908:G936,G940:G956)</f>
        <v>3824200</v>
      </c>
      <c r="H957" s="1166">
        <f t="shared" si="186"/>
        <v>30000</v>
      </c>
      <c r="I957" s="1166">
        <f t="shared" si="186"/>
        <v>158000</v>
      </c>
      <c r="J957" s="1166">
        <f t="shared" si="186"/>
        <v>3696200</v>
      </c>
      <c r="K957" s="1166">
        <f t="shared" si="186"/>
        <v>0</v>
      </c>
      <c r="L957" s="1166">
        <f t="shared" si="186"/>
        <v>0</v>
      </c>
      <c r="M957" s="1166">
        <f t="shared" si="186"/>
        <v>0</v>
      </c>
      <c r="N957" s="1166">
        <f t="shared" si="186"/>
        <v>0</v>
      </c>
      <c r="O957" s="1167">
        <f t="shared" si="186"/>
        <v>3824200</v>
      </c>
      <c r="P957" s="1168">
        <f t="shared" si="186"/>
        <v>3696200</v>
      </c>
    </row>
    <row r="958" spans="1:16" s="1018" customFormat="1" ht="42.75" customHeight="1">
      <c r="A958" s="1043"/>
      <c r="B958" s="1044"/>
      <c r="C958" s="1044"/>
      <c r="D958" s="1044"/>
      <c r="E958" s="1044"/>
      <c r="F958" s="518" t="s">
        <v>1142</v>
      </c>
      <c r="G958" s="1191"/>
      <c r="H958" s="1191"/>
      <c r="I958" s="1191"/>
      <c r="J958" s="1191"/>
      <c r="K958" s="1191"/>
      <c r="L958" s="1192"/>
      <c r="M958" s="1192"/>
      <c r="N958" s="1192"/>
      <c r="O958" s="1192"/>
      <c r="P958" s="1193"/>
    </row>
    <row r="959" spans="1:16" s="1018" customFormat="1" ht="36.75" customHeight="1">
      <c r="A959" s="641"/>
      <c r="B959" s="618"/>
      <c r="C959" s="618"/>
      <c r="D959" s="618"/>
      <c r="E959" s="618"/>
      <c r="F959" s="473" t="s">
        <v>1076</v>
      </c>
      <c r="G959" s="1194"/>
      <c r="H959" s="1194"/>
      <c r="I959" s="1194"/>
      <c r="J959" s="1194"/>
      <c r="K959" s="1194"/>
      <c r="L959" s="1175"/>
      <c r="M959" s="1175"/>
      <c r="N959" s="1175"/>
      <c r="O959" s="1175">
        <v>9</v>
      </c>
      <c r="P959" s="1176"/>
    </row>
    <row r="960" spans="1:16" ht="42.75" customHeight="1" thickBot="1">
      <c r="A960" s="638"/>
      <c r="B960" s="639"/>
      <c r="C960" s="639"/>
      <c r="D960" s="639"/>
      <c r="E960" s="639"/>
      <c r="F960" s="515" t="s">
        <v>834</v>
      </c>
      <c r="G960" s="1195"/>
      <c r="H960" s="1195"/>
      <c r="I960" s="1195"/>
      <c r="J960" s="1195"/>
      <c r="K960" s="1195"/>
      <c r="L960" s="1179"/>
      <c r="M960" s="1179"/>
      <c r="N960" s="1179"/>
      <c r="O960" s="1179">
        <v>11</v>
      </c>
      <c r="P960" s="1180"/>
    </row>
    <row r="961" spans="1:16" ht="239.25" customHeight="1">
      <c r="A961" s="401" t="s">
        <v>494</v>
      </c>
      <c r="B961" s="402" t="s">
        <v>495</v>
      </c>
      <c r="C961" s="403" t="s">
        <v>687</v>
      </c>
      <c r="D961" s="404" t="s">
        <v>497</v>
      </c>
      <c r="E961" s="404" t="s">
        <v>188</v>
      </c>
      <c r="F961" s="405" t="s">
        <v>496</v>
      </c>
      <c r="G961" s="813" t="s">
        <v>1322</v>
      </c>
      <c r="H961" s="813" t="s">
        <v>1324</v>
      </c>
      <c r="I961" s="813" t="s">
        <v>1325</v>
      </c>
      <c r="J961" s="813" t="s">
        <v>1326</v>
      </c>
      <c r="K961" s="813" t="s">
        <v>1323</v>
      </c>
      <c r="L961" s="813" t="s">
        <v>1327</v>
      </c>
      <c r="M961" s="813" t="s">
        <v>1328</v>
      </c>
      <c r="N961" s="813" t="s">
        <v>1329</v>
      </c>
      <c r="O961" s="1278" t="s">
        <v>1321</v>
      </c>
      <c r="P961" s="1149" t="s">
        <v>1330</v>
      </c>
    </row>
    <row r="962" spans="1:16" ht="29.25" customHeight="1">
      <c r="A962" s="1533">
        <v>0</v>
      </c>
      <c r="B962" s="1534"/>
      <c r="C962" s="1534"/>
      <c r="D962" s="409">
        <v>1</v>
      </c>
      <c r="E962" s="409">
        <v>2</v>
      </c>
      <c r="F962" s="410">
        <v>3</v>
      </c>
      <c r="G962" s="1150">
        <v>4</v>
      </c>
      <c r="H962" s="1150">
        <v>5</v>
      </c>
      <c r="I962" s="1150">
        <v>6</v>
      </c>
      <c r="J962" s="1150">
        <v>7</v>
      </c>
      <c r="K962" s="1150">
        <v>8</v>
      </c>
      <c r="L962" s="1150">
        <v>9</v>
      </c>
      <c r="M962" s="1150">
        <v>10</v>
      </c>
      <c r="N962" s="1150">
        <v>11</v>
      </c>
      <c r="O962" s="1150">
        <v>12</v>
      </c>
      <c r="P962" s="1151">
        <v>13</v>
      </c>
    </row>
    <row r="963" spans="1:16" ht="54.75" customHeight="1">
      <c r="A963" s="824" t="s">
        <v>1019</v>
      </c>
      <c r="B963" s="484"/>
      <c r="C963" s="484"/>
      <c r="D963" s="413"/>
      <c r="E963" s="530"/>
      <c r="F963" s="487" t="s">
        <v>1017</v>
      </c>
      <c r="G963" s="415"/>
      <c r="H963" s="415"/>
      <c r="I963" s="415"/>
      <c r="J963" s="415"/>
      <c r="K963" s="415"/>
      <c r="L963" s="415"/>
      <c r="M963" s="415"/>
      <c r="N963" s="415"/>
      <c r="O963" s="415"/>
      <c r="P963" s="1152"/>
    </row>
    <row r="964" spans="1:16" ht="59.25" customHeight="1">
      <c r="A964" s="825" t="s">
        <v>1019</v>
      </c>
      <c r="B964" s="1118" t="s">
        <v>392</v>
      </c>
      <c r="C964" s="1118" t="s">
        <v>391</v>
      </c>
      <c r="D964" s="420"/>
      <c r="E964" s="531"/>
      <c r="F964" s="492" t="s">
        <v>1433</v>
      </c>
      <c r="G964" s="422"/>
      <c r="H964" s="422"/>
      <c r="I964" s="422"/>
      <c r="J964" s="422"/>
      <c r="K964" s="422"/>
      <c r="L964" s="422"/>
      <c r="M964" s="422"/>
      <c r="N964" s="422"/>
      <c r="O964" s="422"/>
      <c r="P964" s="1153"/>
    </row>
    <row r="965" spans="1:16" ht="59.25" customHeight="1">
      <c r="A965" s="488"/>
      <c r="B965" s="489"/>
      <c r="C965" s="532"/>
      <c r="D965" s="420"/>
      <c r="E965" s="531">
        <v>610000</v>
      </c>
      <c r="F965" s="1485" t="s">
        <v>498</v>
      </c>
      <c r="G965" s="422"/>
      <c r="H965" s="422"/>
      <c r="I965" s="422"/>
      <c r="J965" s="422"/>
      <c r="K965" s="422"/>
      <c r="L965" s="422"/>
      <c r="M965" s="422"/>
      <c r="N965" s="422"/>
      <c r="O965" s="422"/>
      <c r="P965" s="1153"/>
    </row>
    <row r="966" spans="1:16" ht="42.75" customHeight="1">
      <c r="A966" s="1488" t="s">
        <v>1019</v>
      </c>
      <c r="B966" s="1464" t="s">
        <v>392</v>
      </c>
      <c r="C966" s="1465" t="s">
        <v>391</v>
      </c>
      <c r="D966" s="1466">
        <v>1091</v>
      </c>
      <c r="E966" s="1467" t="s">
        <v>633</v>
      </c>
      <c r="F966" s="1468" t="s">
        <v>1421</v>
      </c>
      <c r="G966" s="1303">
        <v>0</v>
      </c>
      <c r="H966" s="1303">
        <v>500000</v>
      </c>
      <c r="I966" s="1303"/>
      <c r="J966" s="1303">
        <f>G966+H966-I966</f>
        <v>500000</v>
      </c>
      <c r="K966" s="1303">
        <v>0</v>
      </c>
      <c r="L966" s="1303"/>
      <c r="M966" s="1303"/>
      <c r="N966" s="1303">
        <f>K966+L966-M966</f>
        <v>0</v>
      </c>
      <c r="O966" s="1303">
        <f>G966+K966</f>
        <v>0</v>
      </c>
      <c r="P966" s="1304">
        <f>J966+N966</f>
        <v>500000</v>
      </c>
    </row>
    <row r="967" spans="1:16" ht="42.75" customHeight="1">
      <c r="A967" s="1469" t="s">
        <v>1019</v>
      </c>
      <c r="B967" s="1470" t="s">
        <v>392</v>
      </c>
      <c r="C967" s="1471" t="s">
        <v>391</v>
      </c>
      <c r="D967" s="1425">
        <v>1091</v>
      </c>
      <c r="E967" s="1301" t="s">
        <v>636</v>
      </c>
      <c r="F967" s="1302" t="s">
        <v>1422</v>
      </c>
      <c r="G967" s="1303">
        <v>0</v>
      </c>
      <c r="H967" s="1303">
        <v>100000</v>
      </c>
      <c r="I967" s="1303"/>
      <c r="J967" s="1303">
        <f>G967+H967-I967</f>
        <v>100000</v>
      </c>
      <c r="K967" s="1303"/>
      <c r="L967" s="1303"/>
      <c r="M967" s="1303"/>
      <c r="N967" s="1303">
        <f>K967+L967-M967</f>
        <v>0</v>
      </c>
      <c r="O967" s="1303">
        <f>G967+K967</f>
        <v>0</v>
      </c>
      <c r="P967" s="1304">
        <f>J967+N967</f>
        <v>100000</v>
      </c>
    </row>
    <row r="968" spans="1:16" ht="54.75" customHeight="1">
      <c r="A968" s="546"/>
      <c r="B968" s="1462"/>
      <c r="C968" s="548"/>
      <c r="D968" s="549"/>
      <c r="E968" s="550"/>
      <c r="F968" s="1045" t="s">
        <v>1411</v>
      </c>
      <c r="G968" s="1272">
        <f aca="true" t="shared" si="187" ref="G968:P968">SUM(G966:G967)</f>
        <v>0</v>
      </c>
      <c r="H968" s="1272">
        <f t="shared" si="187"/>
        <v>600000</v>
      </c>
      <c r="I968" s="1272">
        <f t="shared" si="187"/>
        <v>0</v>
      </c>
      <c r="J968" s="1272">
        <f t="shared" si="187"/>
        <v>600000</v>
      </c>
      <c r="K968" s="1272">
        <f t="shared" si="187"/>
        <v>0</v>
      </c>
      <c r="L968" s="1272">
        <f t="shared" si="187"/>
        <v>0</v>
      </c>
      <c r="M968" s="1272">
        <f t="shared" si="187"/>
        <v>0</v>
      </c>
      <c r="N968" s="1272">
        <f t="shared" si="187"/>
        <v>0</v>
      </c>
      <c r="O968" s="1272">
        <f t="shared" si="187"/>
        <v>0</v>
      </c>
      <c r="P968" s="1272">
        <f t="shared" si="187"/>
        <v>600000</v>
      </c>
    </row>
    <row r="969" spans="1:16" ht="45.75" customHeight="1" thickBot="1">
      <c r="A969" s="1494"/>
      <c r="B969" s="1494"/>
      <c r="C969" s="1494"/>
      <c r="D969" s="1495"/>
      <c r="E969" s="1496"/>
      <c r="F969" s="1497" t="s">
        <v>1434</v>
      </c>
      <c r="G969" s="1498">
        <f>G968+G957</f>
        <v>3824200</v>
      </c>
      <c r="H969" s="1498">
        <f aca="true" t="shared" si="188" ref="H969:P969">H968+H957</f>
        <v>630000</v>
      </c>
      <c r="I969" s="1498">
        <f t="shared" si="188"/>
        <v>158000</v>
      </c>
      <c r="J969" s="1498">
        <f t="shared" si="188"/>
        <v>4296200</v>
      </c>
      <c r="K969" s="1498">
        <f t="shared" si="188"/>
        <v>0</v>
      </c>
      <c r="L969" s="1498">
        <f t="shared" si="188"/>
        <v>0</v>
      </c>
      <c r="M969" s="1498">
        <f t="shared" si="188"/>
        <v>0</v>
      </c>
      <c r="N969" s="1498">
        <f t="shared" si="188"/>
        <v>0</v>
      </c>
      <c r="O969" s="1498">
        <f t="shared" si="188"/>
        <v>3824200</v>
      </c>
      <c r="P969" s="1498">
        <f t="shared" si="188"/>
        <v>4296200</v>
      </c>
    </row>
    <row r="970" spans="1:16" ht="33" customHeight="1" thickBot="1">
      <c r="A970" s="1489"/>
      <c r="B970" s="1489"/>
      <c r="C970" s="1489"/>
      <c r="D970" s="1490"/>
      <c r="E970" s="1491"/>
      <c r="F970" s="1492"/>
      <c r="G970" s="1493"/>
      <c r="H970" s="1493"/>
      <c r="I970" s="1493"/>
      <c r="J970" s="1493"/>
      <c r="K970" s="1493"/>
      <c r="L970" s="1493"/>
      <c r="M970" s="1493"/>
      <c r="N970" s="1493"/>
      <c r="O970" s="1493"/>
      <c r="P970" s="1493"/>
    </row>
    <row r="971" spans="1:16" ht="44.25" customHeight="1">
      <c r="A971" s="795"/>
      <c r="B971" s="796"/>
      <c r="C971" s="796"/>
      <c r="D971" s="1048"/>
      <c r="E971" s="1049"/>
      <c r="F971" s="1050" t="s">
        <v>1169</v>
      </c>
      <c r="G971" s="1226">
        <f aca="true" t="shared" si="189" ref="G971:P971">SUM(G855,G833,G758,G664,G638,G598,G564,G511,G399,G223,G149,G73,G898,G878,G129,G705,G695,G611,G430,G435,G240,G957,)</f>
        <v>34849498.37</v>
      </c>
      <c r="H971" s="1226">
        <f t="shared" si="189"/>
        <v>682000</v>
      </c>
      <c r="I971" s="1226">
        <f t="shared" si="189"/>
        <v>3833400</v>
      </c>
      <c r="J971" s="1226">
        <f t="shared" si="189"/>
        <v>31698098.369999997</v>
      </c>
      <c r="K971" s="1226">
        <f t="shared" si="189"/>
        <v>1301544.8</v>
      </c>
      <c r="L971" s="1226">
        <f t="shared" si="189"/>
        <v>0</v>
      </c>
      <c r="M971" s="1226">
        <f t="shared" si="189"/>
        <v>7850</v>
      </c>
      <c r="N971" s="1226">
        <f t="shared" si="189"/>
        <v>1293694.8</v>
      </c>
      <c r="O971" s="1280">
        <f t="shared" si="189"/>
        <v>36151043.17</v>
      </c>
      <c r="P971" s="1227">
        <f t="shared" si="189"/>
        <v>32991793.169999998</v>
      </c>
    </row>
    <row r="972" spans="1:16" ht="44.25" customHeight="1">
      <c r="A972" s="798"/>
      <c r="B972" s="799"/>
      <c r="C972" s="799"/>
      <c r="D972" s="1051"/>
      <c r="E972" s="1052"/>
      <c r="F972" s="829" t="s">
        <v>1424</v>
      </c>
      <c r="G972" s="1229">
        <f>SUM(G968,G381)</f>
        <v>0</v>
      </c>
      <c r="H972" s="1229">
        <f aca="true" t="shared" si="190" ref="H972:P972">SUM(H968,H381)</f>
        <v>1200000</v>
      </c>
      <c r="I972" s="1229">
        <f t="shared" si="190"/>
        <v>0</v>
      </c>
      <c r="J972" s="1229">
        <f t="shared" si="190"/>
        <v>1200000</v>
      </c>
      <c r="K972" s="1229">
        <f t="shared" si="190"/>
        <v>0</v>
      </c>
      <c r="L972" s="1229">
        <f t="shared" si="190"/>
        <v>0</v>
      </c>
      <c r="M972" s="1229">
        <f t="shared" si="190"/>
        <v>0</v>
      </c>
      <c r="N972" s="1229">
        <f t="shared" si="190"/>
        <v>0</v>
      </c>
      <c r="O972" s="1229">
        <f t="shared" si="190"/>
        <v>0</v>
      </c>
      <c r="P972" s="1229">
        <f t="shared" si="190"/>
        <v>1200000</v>
      </c>
    </row>
    <row r="973" spans="1:16" ht="44.25" customHeight="1">
      <c r="A973" s="798"/>
      <c r="B973" s="799"/>
      <c r="C973" s="799"/>
      <c r="D973" s="1051"/>
      <c r="E973" s="1052"/>
      <c r="F973" s="656" t="s">
        <v>1170</v>
      </c>
      <c r="G973" s="1228">
        <f aca="true" t="shared" si="191" ref="G973:P973">SUM(G268,G296,G323,G353,)</f>
        <v>3489200</v>
      </c>
      <c r="H973" s="1228">
        <f t="shared" si="191"/>
        <v>132000</v>
      </c>
      <c r="I973" s="1228">
        <f t="shared" si="191"/>
        <v>71000</v>
      </c>
      <c r="J973" s="1228">
        <f t="shared" si="191"/>
        <v>3550200</v>
      </c>
      <c r="K973" s="1228">
        <f t="shared" si="191"/>
        <v>2687110.6</v>
      </c>
      <c r="L973" s="1228">
        <f t="shared" si="191"/>
        <v>0</v>
      </c>
      <c r="M973" s="1228">
        <f t="shared" si="191"/>
        <v>100000</v>
      </c>
      <c r="N973" s="1228">
        <f t="shared" si="191"/>
        <v>2587110.6</v>
      </c>
      <c r="O973" s="1204">
        <f t="shared" si="191"/>
        <v>6176310.6</v>
      </c>
      <c r="P973" s="1205">
        <f t="shared" si="191"/>
        <v>6137310.6</v>
      </c>
    </row>
    <row r="974" spans="1:16" s="423" customFormat="1" ht="44.25" customHeight="1">
      <c r="A974" s="801"/>
      <c r="B974" s="802"/>
      <c r="C974" s="802"/>
      <c r="D974" s="1053"/>
      <c r="E974" s="1054"/>
      <c r="F974" s="590" t="s">
        <v>1168</v>
      </c>
      <c r="G974" s="1229">
        <f aca="true" t="shared" si="192" ref="G974:P974">SUM(G577,G769,G725,G459,G481,G619,)</f>
        <v>14224994.180000003</v>
      </c>
      <c r="H974" s="1229">
        <f t="shared" si="192"/>
        <v>800000</v>
      </c>
      <c r="I974" s="1229">
        <f t="shared" si="192"/>
        <v>0</v>
      </c>
      <c r="J974" s="1229">
        <f t="shared" si="192"/>
        <v>15024994.180000003</v>
      </c>
      <c r="K974" s="1229">
        <f t="shared" si="192"/>
        <v>4146065.66</v>
      </c>
      <c r="L974" s="1229">
        <f t="shared" si="192"/>
        <v>11059.2</v>
      </c>
      <c r="M974" s="1229">
        <f t="shared" si="192"/>
        <v>1000000</v>
      </c>
      <c r="N974" s="1229">
        <f t="shared" si="192"/>
        <v>3157124.86</v>
      </c>
      <c r="O974" s="1156">
        <f t="shared" si="192"/>
        <v>18371059.840000004</v>
      </c>
      <c r="P974" s="1157">
        <f t="shared" si="192"/>
        <v>18182119.040000003</v>
      </c>
    </row>
    <row r="975" spans="1:16" s="805" customFormat="1" ht="44.25" customHeight="1">
      <c r="A975" s="803"/>
      <c r="B975" s="804"/>
      <c r="C975" s="804"/>
      <c r="D975" s="1055"/>
      <c r="E975" s="1056"/>
      <c r="F975" s="656" t="s">
        <v>1167</v>
      </c>
      <c r="G975" s="1228">
        <f aca="true" t="shared" si="193" ref="G975:P975">SUM(G792,)</f>
        <v>3069961.6000000006</v>
      </c>
      <c r="H975" s="1228">
        <f t="shared" si="193"/>
        <v>0</v>
      </c>
      <c r="I975" s="1228">
        <f t="shared" si="193"/>
        <v>0</v>
      </c>
      <c r="J975" s="1228">
        <f t="shared" si="193"/>
        <v>3069961.6000000006</v>
      </c>
      <c r="K975" s="1228">
        <f t="shared" si="193"/>
        <v>225000</v>
      </c>
      <c r="L975" s="1228">
        <f t="shared" si="193"/>
        <v>0</v>
      </c>
      <c r="M975" s="1228">
        <f t="shared" si="193"/>
        <v>0</v>
      </c>
      <c r="N975" s="1228">
        <f t="shared" si="193"/>
        <v>225000</v>
      </c>
      <c r="O975" s="1204">
        <f t="shared" si="193"/>
        <v>3294961.6000000006</v>
      </c>
      <c r="P975" s="1205">
        <f t="shared" si="193"/>
        <v>3294961.6000000006</v>
      </c>
    </row>
    <row r="976" spans="1:16" s="805" customFormat="1" ht="45" customHeight="1">
      <c r="A976" s="803"/>
      <c r="B976" s="804"/>
      <c r="C976" s="804"/>
      <c r="D976" s="1055"/>
      <c r="E976" s="1056"/>
      <c r="F976" s="656" t="s">
        <v>1166</v>
      </c>
      <c r="G976" s="1228">
        <f aca="true" t="shared" si="194" ref="G976:P976">SUM(G801,)</f>
        <v>252500</v>
      </c>
      <c r="H976" s="1228">
        <f t="shared" si="194"/>
        <v>0</v>
      </c>
      <c r="I976" s="1228">
        <f t="shared" si="194"/>
        <v>0</v>
      </c>
      <c r="J976" s="1228">
        <f t="shared" si="194"/>
        <v>252500</v>
      </c>
      <c r="K976" s="1228">
        <f t="shared" si="194"/>
        <v>0</v>
      </c>
      <c r="L976" s="1228">
        <f t="shared" si="194"/>
        <v>0</v>
      </c>
      <c r="M976" s="1228">
        <f t="shared" si="194"/>
        <v>0</v>
      </c>
      <c r="N976" s="1228">
        <f t="shared" si="194"/>
        <v>0</v>
      </c>
      <c r="O976" s="1204">
        <f t="shared" si="194"/>
        <v>252500</v>
      </c>
      <c r="P976" s="1205">
        <f t="shared" si="194"/>
        <v>252500</v>
      </c>
    </row>
    <row r="977" spans="1:16" s="1018" customFormat="1" ht="54" customHeight="1">
      <c r="A977" s="798"/>
      <c r="B977" s="799"/>
      <c r="C977" s="799"/>
      <c r="D977" s="1051"/>
      <c r="E977" s="1052"/>
      <c r="F977" s="917" t="s">
        <v>1165</v>
      </c>
      <c r="G977" s="1228">
        <f aca="true" t="shared" si="195" ref="G977:P977">SUM(G814)</f>
        <v>72515.5</v>
      </c>
      <c r="H977" s="1228">
        <f t="shared" si="195"/>
        <v>36000</v>
      </c>
      <c r="I977" s="1228">
        <f t="shared" si="195"/>
        <v>0</v>
      </c>
      <c r="J977" s="1228">
        <f t="shared" si="195"/>
        <v>108515.5</v>
      </c>
      <c r="K977" s="1228">
        <f t="shared" si="195"/>
        <v>0</v>
      </c>
      <c r="L977" s="1228">
        <f t="shared" si="195"/>
        <v>0</v>
      </c>
      <c r="M977" s="1228">
        <f t="shared" si="195"/>
        <v>0</v>
      </c>
      <c r="N977" s="1228">
        <f t="shared" si="195"/>
        <v>0</v>
      </c>
      <c r="O977" s="1204">
        <f t="shared" si="195"/>
        <v>72515.5</v>
      </c>
      <c r="P977" s="1205">
        <f t="shared" si="195"/>
        <v>108515.5</v>
      </c>
    </row>
    <row r="978" spans="1:16" ht="53.25" customHeight="1">
      <c r="A978" s="798"/>
      <c r="B978" s="799"/>
      <c r="C978" s="799"/>
      <c r="D978" s="1051"/>
      <c r="E978" s="1052"/>
      <c r="F978" s="947" t="s">
        <v>1171</v>
      </c>
      <c r="G978" s="1230">
        <f aca="true" t="shared" si="196" ref="G978:P978">SUM(G543,G374,)</f>
        <v>8942809.61</v>
      </c>
      <c r="H978" s="1230">
        <f t="shared" si="196"/>
        <v>3260000</v>
      </c>
      <c r="I978" s="1230">
        <f t="shared" si="196"/>
        <v>2096852.1</v>
      </c>
      <c r="J978" s="1230">
        <f t="shared" si="196"/>
        <v>10105957.51</v>
      </c>
      <c r="K978" s="1230">
        <f t="shared" si="196"/>
        <v>71463.17</v>
      </c>
      <c r="L978" s="1230">
        <f t="shared" si="196"/>
        <v>0</v>
      </c>
      <c r="M978" s="1230">
        <f t="shared" si="196"/>
        <v>0</v>
      </c>
      <c r="N978" s="1230">
        <f t="shared" si="196"/>
        <v>71463.17</v>
      </c>
      <c r="O978" s="1173">
        <f t="shared" si="196"/>
        <v>9014272.78</v>
      </c>
      <c r="P978" s="1174">
        <f t="shared" si="196"/>
        <v>10177420.68</v>
      </c>
    </row>
    <row r="979" spans="1:16" ht="53.25" customHeight="1">
      <c r="A979" s="798"/>
      <c r="B979" s="799"/>
      <c r="C979" s="799"/>
      <c r="D979" s="1051"/>
      <c r="E979" s="1052"/>
      <c r="F979" s="1057" t="s">
        <v>1174</v>
      </c>
      <c r="G979" s="1231">
        <f aca="true" t="shared" si="197" ref="G979:P979">SUM(G716)</f>
        <v>16000</v>
      </c>
      <c r="H979" s="1231">
        <f t="shared" si="197"/>
        <v>34043.37</v>
      </c>
      <c r="I979" s="1231">
        <f t="shared" si="197"/>
        <v>0</v>
      </c>
      <c r="J979" s="1231">
        <f t="shared" si="197"/>
        <v>50043.37</v>
      </c>
      <c r="K979" s="1231">
        <f t="shared" si="197"/>
        <v>0</v>
      </c>
      <c r="L979" s="1231">
        <f t="shared" si="197"/>
        <v>0</v>
      </c>
      <c r="M979" s="1231">
        <f t="shared" si="197"/>
        <v>0</v>
      </c>
      <c r="N979" s="1231">
        <f t="shared" si="197"/>
        <v>0</v>
      </c>
      <c r="O979" s="1232">
        <f t="shared" si="197"/>
        <v>16000</v>
      </c>
      <c r="P979" s="1233">
        <f t="shared" si="197"/>
        <v>50043.37</v>
      </c>
    </row>
    <row r="980" spans="1:16" ht="53.25" customHeight="1">
      <c r="A980" s="806"/>
      <c r="B980" s="800"/>
      <c r="C980" s="800"/>
      <c r="D980" s="1051"/>
      <c r="E980" s="1051"/>
      <c r="F980" s="1058" t="s">
        <v>612</v>
      </c>
      <c r="G980" s="1163">
        <f aca="true" t="shared" si="198" ref="G980:O980">SUM(G971:G979)</f>
        <v>64917479.26</v>
      </c>
      <c r="H980" s="1163">
        <f t="shared" si="198"/>
        <v>6144043.37</v>
      </c>
      <c r="I980" s="1163">
        <f t="shared" si="198"/>
        <v>6001252.1</v>
      </c>
      <c r="J980" s="1163">
        <f t="shared" si="198"/>
        <v>65060270.529999994</v>
      </c>
      <c r="K980" s="1163">
        <f t="shared" si="198"/>
        <v>8431184.23</v>
      </c>
      <c r="L980" s="1163">
        <f t="shared" si="198"/>
        <v>11059.2</v>
      </c>
      <c r="M980" s="1163">
        <f t="shared" si="198"/>
        <v>1107850</v>
      </c>
      <c r="N980" s="1163">
        <f t="shared" si="198"/>
        <v>7334393.43</v>
      </c>
      <c r="O980" s="1164">
        <f t="shared" si="198"/>
        <v>73348663.49000001</v>
      </c>
      <c r="P980" s="1165">
        <f>SUM(P971:P979)</f>
        <v>72394663.96000001</v>
      </c>
    </row>
    <row r="981" spans="1:16" ht="44.25" customHeight="1">
      <c r="A981" s="807"/>
      <c r="B981" s="685"/>
      <c r="C981" s="685"/>
      <c r="D981" s="685"/>
      <c r="E981" s="685"/>
      <c r="F981" s="808" t="s">
        <v>759</v>
      </c>
      <c r="G981" s="1204">
        <f aca="true" t="shared" si="199" ref="G981:P981">SUM(G483,G437,)</f>
        <v>1390000</v>
      </c>
      <c r="H981" s="1204">
        <f t="shared" si="199"/>
        <v>0</v>
      </c>
      <c r="I981" s="1204">
        <f t="shared" si="199"/>
        <v>0</v>
      </c>
      <c r="J981" s="1204">
        <f t="shared" si="199"/>
        <v>1390000</v>
      </c>
      <c r="K981" s="1204">
        <f t="shared" si="199"/>
        <v>0</v>
      </c>
      <c r="L981" s="1204">
        <f t="shared" si="199"/>
        <v>0</v>
      </c>
      <c r="M981" s="1204">
        <f t="shared" si="199"/>
        <v>0</v>
      </c>
      <c r="N981" s="1204">
        <f t="shared" si="199"/>
        <v>0</v>
      </c>
      <c r="O981" s="1204">
        <f t="shared" si="199"/>
        <v>1390000</v>
      </c>
      <c r="P981" s="1205">
        <f t="shared" si="199"/>
        <v>1390000</v>
      </c>
    </row>
    <row r="982" spans="1:16" ht="48.75" customHeight="1" thickBot="1">
      <c r="A982" s="806"/>
      <c r="B982" s="800"/>
      <c r="C982" s="800"/>
      <c r="D982" s="800"/>
      <c r="E982" s="800"/>
      <c r="F982" s="567" t="s">
        <v>954</v>
      </c>
      <c r="G982" s="1232">
        <f aca="true" t="shared" si="200" ref="G982:P982">SUM(G484,G485,)</f>
        <v>2050000</v>
      </c>
      <c r="H982" s="1232">
        <f t="shared" si="200"/>
        <v>0</v>
      </c>
      <c r="I982" s="1232">
        <f t="shared" si="200"/>
        <v>0</v>
      </c>
      <c r="J982" s="1232">
        <f t="shared" si="200"/>
        <v>2050000</v>
      </c>
      <c r="K982" s="1232">
        <f t="shared" si="200"/>
        <v>0</v>
      </c>
      <c r="L982" s="1232">
        <f t="shared" si="200"/>
        <v>0</v>
      </c>
      <c r="M982" s="1232">
        <f t="shared" si="200"/>
        <v>0</v>
      </c>
      <c r="N982" s="1232">
        <f t="shared" si="200"/>
        <v>0</v>
      </c>
      <c r="O982" s="1232">
        <f t="shared" si="200"/>
        <v>2050000</v>
      </c>
      <c r="P982" s="1233">
        <f t="shared" si="200"/>
        <v>2050000</v>
      </c>
    </row>
    <row r="983" spans="1:16" ht="53.25" customHeight="1" thickBot="1">
      <c r="A983" s="809"/>
      <c r="B983" s="810"/>
      <c r="C983" s="810"/>
      <c r="D983" s="810"/>
      <c r="E983" s="810"/>
      <c r="F983" s="811" t="s">
        <v>361</v>
      </c>
      <c r="G983" s="1187">
        <f aca="true" t="shared" si="201" ref="G983:O983">SUM(G980:G982)</f>
        <v>68357479.25999999</v>
      </c>
      <c r="H983" s="1187">
        <f t="shared" si="201"/>
        <v>6144043.37</v>
      </c>
      <c r="I983" s="1187">
        <f t="shared" si="201"/>
        <v>6001252.1</v>
      </c>
      <c r="J983" s="1187">
        <f t="shared" si="201"/>
        <v>68500270.53</v>
      </c>
      <c r="K983" s="1187">
        <f t="shared" si="201"/>
        <v>8431184.23</v>
      </c>
      <c r="L983" s="1187">
        <f t="shared" si="201"/>
        <v>11059.2</v>
      </c>
      <c r="M983" s="1187">
        <f t="shared" si="201"/>
        <v>1107850</v>
      </c>
      <c r="N983" s="1187">
        <f t="shared" si="201"/>
        <v>7334393.43</v>
      </c>
      <c r="O983" s="1187">
        <f t="shared" si="201"/>
        <v>76788663.49000001</v>
      </c>
      <c r="P983" s="1188">
        <f>SUM(P980:P982)</f>
        <v>75834663.96000001</v>
      </c>
    </row>
    <row r="984" spans="1:16" ht="57" customHeight="1">
      <c r="A984" s="812"/>
      <c r="B984" s="797"/>
      <c r="C984" s="797"/>
      <c r="D984" s="797"/>
      <c r="E984" s="797"/>
      <c r="F984" s="518" t="s">
        <v>1140</v>
      </c>
      <c r="G984" s="1234"/>
      <c r="H984" s="1234"/>
      <c r="I984" s="1234"/>
      <c r="J984" s="1234"/>
      <c r="K984" s="1234"/>
      <c r="L984" s="1234"/>
      <c r="M984" s="1234"/>
      <c r="N984" s="1234"/>
      <c r="O984" s="1234"/>
      <c r="P984" s="1235"/>
    </row>
    <row r="985" spans="1:16" ht="57" customHeight="1">
      <c r="A985" s="806"/>
      <c r="B985" s="800"/>
      <c r="C985" s="800"/>
      <c r="D985" s="800"/>
      <c r="E985" s="800"/>
      <c r="F985" s="566" t="s">
        <v>1141</v>
      </c>
      <c r="G985" s="1236"/>
      <c r="H985" s="1236"/>
      <c r="I985" s="1236"/>
      <c r="J985" s="1236"/>
      <c r="K985" s="1236"/>
      <c r="L985" s="1236"/>
      <c r="M985" s="1236"/>
      <c r="N985" s="1236"/>
      <c r="O985" s="1236"/>
      <c r="P985" s="1237"/>
    </row>
    <row r="986" spans="1:16" ht="57" customHeight="1">
      <c r="A986" s="806"/>
      <c r="B986" s="800"/>
      <c r="C986" s="800"/>
      <c r="D986" s="800"/>
      <c r="E986" s="800"/>
      <c r="F986" s="473" t="s">
        <v>1080</v>
      </c>
      <c r="G986" s="1236"/>
      <c r="H986" s="1236"/>
      <c r="I986" s="1236"/>
      <c r="J986" s="1236"/>
      <c r="K986" s="1236"/>
      <c r="L986" s="1236"/>
      <c r="M986" s="1236"/>
      <c r="N986" s="1236"/>
      <c r="O986" s="1236">
        <f>SUM(O900,O880,O857,O835,O760,O697,O666,O640,O600,O566,O513,O401,O151,O102,O225,O959,)</f>
        <v>444</v>
      </c>
      <c r="P986" s="1237"/>
    </row>
    <row r="987" spans="1:16" ht="58.5" customHeight="1">
      <c r="A987" s="806"/>
      <c r="B987" s="800"/>
      <c r="C987" s="800"/>
      <c r="D987" s="800"/>
      <c r="E987" s="800"/>
      <c r="F987" s="473" t="s">
        <v>1081</v>
      </c>
      <c r="G987" s="1236"/>
      <c r="H987" s="1236"/>
      <c r="I987" s="1236"/>
      <c r="J987" s="1236"/>
      <c r="K987" s="1236"/>
      <c r="L987" s="1236"/>
      <c r="M987" s="1236"/>
      <c r="N987" s="1236"/>
      <c r="O987" s="1236">
        <f>SUM(O270,O298,O325,O355,)</f>
        <v>227</v>
      </c>
      <c r="P987" s="1237"/>
    </row>
    <row r="988" spans="1:16" ht="58.5" customHeight="1">
      <c r="A988" s="806"/>
      <c r="B988" s="800"/>
      <c r="C988" s="800"/>
      <c r="D988" s="800"/>
      <c r="E988" s="800"/>
      <c r="F988" s="473" t="s">
        <v>835</v>
      </c>
      <c r="G988" s="1236"/>
      <c r="H988" s="1236"/>
      <c r="I988" s="1236"/>
      <c r="J988" s="1236"/>
      <c r="K988" s="1236"/>
      <c r="L988" s="1236"/>
      <c r="M988" s="1236"/>
      <c r="N988" s="1236"/>
      <c r="O988" s="1236">
        <f>SUM(O901,O881,O858,O836,O761,O698,O667,O641,O601,O567,O514,O402,O152,O103,O226,O960,)</f>
        <v>527</v>
      </c>
      <c r="P988" s="1237"/>
    </row>
    <row r="989" spans="1:16" ht="56.25" customHeight="1" thickBot="1">
      <c r="A989" s="809"/>
      <c r="B989" s="810"/>
      <c r="C989" s="810"/>
      <c r="D989" s="810"/>
      <c r="E989" s="810"/>
      <c r="F989" s="473" t="s">
        <v>836</v>
      </c>
      <c r="G989" s="1238"/>
      <c r="H989" s="1238"/>
      <c r="I989" s="1238"/>
      <c r="J989" s="1238"/>
      <c r="K989" s="1238"/>
      <c r="L989" s="1238"/>
      <c r="M989" s="1238"/>
      <c r="N989" s="1238"/>
      <c r="O989" s="1238">
        <f>SUM(O271,O299,O326,O356,)</f>
        <v>309</v>
      </c>
      <c r="P989" s="1239"/>
    </row>
  </sheetData>
  <sheetProtection/>
  <mergeCells count="98">
    <mergeCell ref="A803:C803"/>
    <mergeCell ref="R214:S214"/>
    <mergeCell ref="R207:S207"/>
    <mergeCell ref="R208:S208"/>
    <mergeCell ref="R222:S222"/>
    <mergeCell ref="R217:S217"/>
    <mergeCell ref="R218:S218"/>
    <mergeCell ref="R219:S219"/>
    <mergeCell ref="R220:S220"/>
    <mergeCell ref="R216:S216"/>
    <mergeCell ref="R209:S209"/>
    <mergeCell ref="R210:S210"/>
    <mergeCell ref="R211:S211"/>
    <mergeCell ref="R212:S212"/>
    <mergeCell ref="R201:S201"/>
    <mergeCell ref="R202:S202"/>
    <mergeCell ref="R203:S203"/>
    <mergeCell ref="R204:S204"/>
    <mergeCell ref="R205:S205"/>
    <mergeCell ref="R206:S206"/>
    <mergeCell ref="R198:S198"/>
    <mergeCell ref="R199:S199"/>
    <mergeCell ref="R200:S200"/>
    <mergeCell ref="R192:S192"/>
    <mergeCell ref="R193:S193"/>
    <mergeCell ref="R194:S194"/>
    <mergeCell ref="R195:S195"/>
    <mergeCell ref="R196:S196"/>
    <mergeCell ref="R183:S183"/>
    <mergeCell ref="R184:S184"/>
    <mergeCell ref="R185:S185"/>
    <mergeCell ref="R186:S186"/>
    <mergeCell ref="R187:S187"/>
    <mergeCell ref="R188:S188"/>
    <mergeCell ref="R177:S177"/>
    <mergeCell ref="R178:S178"/>
    <mergeCell ref="R179:S179"/>
    <mergeCell ref="R180:S180"/>
    <mergeCell ref="R181:S181"/>
    <mergeCell ref="R182:S182"/>
    <mergeCell ref="R173:S173"/>
    <mergeCell ref="R174:S174"/>
    <mergeCell ref="R175:S175"/>
    <mergeCell ref="R176:S176"/>
    <mergeCell ref="R167:S167"/>
    <mergeCell ref="R168:S168"/>
    <mergeCell ref="R169:S169"/>
    <mergeCell ref="R170:S170"/>
    <mergeCell ref="R171:S171"/>
    <mergeCell ref="A273:C273"/>
    <mergeCell ref="R159:S159"/>
    <mergeCell ref="R160:S160"/>
    <mergeCell ref="R161:S161"/>
    <mergeCell ref="R162:S162"/>
    <mergeCell ref="R163:S163"/>
    <mergeCell ref="R164:S164"/>
    <mergeCell ref="R165:S165"/>
    <mergeCell ref="R166:S166"/>
    <mergeCell ref="R172:S172"/>
    <mergeCell ref="A884:C884"/>
    <mergeCell ref="A860:C860"/>
    <mergeCell ref="A718:C718"/>
    <mergeCell ref="A838:C838"/>
    <mergeCell ref="A707:C707"/>
    <mergeCell ref="A794:C794"/>
    <mergeCell ref="A728:C728"/>
    <mergeCell ref="A771:C771"/>
    <mergeCell ref="A817:C817"/>
    <mergeCell ref="A763:C763"/>
    <mergeCell ref="B1:F1"/>
    <mergeCell ref="A155:C155"/>
    <mergeCell ref="A40:C40"/>
    <mergeCell ref="A131:C131"/>
    <mergeCell ref="A58:C58"/>
    <mergeCell ref="A76:C76"/>
    <mergeCell ref="A105:C105"/>
    <mergeCell ref="A112:C112"/>
    <mergeCell ref="B38:E38"/>
    <mergeCell ref="C25:O27"/>
    <mergeCell ref="A569:C569"/>
    <mergeCell ref="A700:C700"/>
    <mergeCell ref="A643:C643"/>
    <mergeCell ref="A404:C404"/>
    <mergeCell ref="A384:C384"/>
    <mergeCell ref="A603:C603"/>
    <mergeCell ref="A580:C580"/>
    <mergeCell ref="A547:C547"/>
    <mergeCell ref="A613:C613"/>
    <mergeCell ref="A376:C376"/>
    <mergeCell ref="A962:C962"/>
    <mergeCell ref="A358:C358"/>
    <mergeCell ref="A228:C228"/>
    <mergeCell ref="A669:C669"/>
    <mergeCell ref="A904:C904"/>
    <mergeCell ref="A244:C244"/>
    <mergeCell ref="A622:C622"/>
    <mergeCell ref="A301:C301"/>
    <mergeCell ref="A328:C328"/>
  </mergeCells>
  <printOptions horizontalCentered="1"/>
  <pageMargins left="0" right="0" top="0.6299212598425197" bottom="0.5905511811023623" header="0.31496062992125984" footer="0.31496062992125984"/>
  <pageSetup firstPageNumber="35" useFirstPageNumber="1" horizontalDpi="600" verticalDpi="600" orientation="landscape" paperSize="9" scale="28" r:id="rId2"/>
  <headerFooter alignWithMargins="0">
    <oddHeader>&amp;C&amp;22&amp;P</oddHeader>
  </headerFooter>
  <rowBreaks count="45" manualBreakCount="45">
    <brk id="37" max="15" man="1"/>
    <brk id="55" max="255" man="1"/>
    <brk id="74" max="255" man="1"/>
    <brk id="103" max="255" man="1"/>
    <brk id="110" max="255" man="1"/>
    <brk id="129" max="255" man="1"/>
    <brk id="152" max="15" man="1"/>
    <brk id="188" max="255" man="1"/>
    <brk id="226" max="15" man="1"/>
    <brk id="240" max="15" man="1"/>
    <brk id="271" max="255" man="1"/>
    <brk id="299" max="255" man="1"/>
    <brk id="326" max="15" man="1"/>
    <brk id="356" max="255" man="1"/>
    <brk id="374" max="15" man="1"/>
    <brk id="382" max="255" man="1"/>
    <brk id="402" max="255" man="1"/>
    <brk id="439" max="255" man="1"/>
    <brk id="459" max="255" man="1"/>
    <brk id="487" max="15" man="1"/>
    <brk id="514" max="255" man="1"/>
    <brk id="545" max="255" man="1"/>
    <brk id="567" max="255" man="1"/>
    <brk id="578" max="255" man="1"/>
    <brk id="601" max="15" man="1"/>
    <brk id="611" max="15" man="1"/>
    <brk id="620" max="255" man="1"/>
    <brk id="641" max="255" man="1"/>
    <brk id="667" max="255" man="1"/>
    <brk id="698" max="255" man="1"/>
    <brk id="705" max="15" man="1"/>
    <brk id="716" max="15" man="1"/>
    <brk id="726" max="15" man="1"/>
    <brk id="761" max="15" man="1"/>
    <brk id="769" max="255" man="1"/>
    <brk id="792" max="255" man="1"/>
    <brk id="801" max="15" man="1"/>
    <brk id="815" max="15" man="1"/>
    <brk id="836" max="255" man="1"/>
    <brk id="858" max="255" man="1"/>
    <brk id="881" max="255" man="1"/>
    <brk id="902" max="15" man="1"/>
    <brk id="937" max="15" man="1"/>
    <brk id="960" max="15" man="1"/>
    <brk id="969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Amrica</dc:creator>
  <cp:keywords/>
  <dc:description/>
  <cp:lastModifiedBy>Senada Morankic</cp:lastModifiedBy>
  <cp:lastPrinted>2020-05-27T06:14:17Z</cp:lastPrinted>
  <dcterms:created xsi:type="dcterms:W3CDTF">1996-10-14T23:33:28Z</dcterms:created>
  <dcterms:modified xsi:type="dcterms:W3CDTF">2020-05-27T06:15:15Z</dcterms:modified>
  <cp:category/>
  <cp:version/>
  <cp:contentType/>
  <cp:contentStatus/>
</cp:coreProperties>
</file>